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4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Volleyball 18\Rankings\Rankings\Kidz Power\"/>
    </mc:Choice>
  </mc:AlternateContent>
  <bookViews>
    <workbookView xWindow="6972" yWindow="132" windowWidth="12588" windowHeight="7776"/>
  </bookViews>
  <sheets>
    <sheet name="7tm AM r2" sheetId="1" r:id="rId1"/>
    <sheet name="7tm AM r1" sheetId="2" r:id="rId2"/>
    <sheet name="7tm PM r2" sheetId="4" r:id="rId3"/>
    <sheet name="7tm PM r1" sheetId="3" r:id="rId4"/>
    <sheet name="RatingResultsSummary" sheetId="7" r:id="rId5"/>
    <sheet name="Initial" sheetId="5" r:id="rId6"/>
    <sheet name="Final" sheetId="8" r:id="rId7"/>
    <sheet name="Final-PM" sheetId="9" r:id="rId8"/>
  </sheets>
  <externalReferences>
    <externalReference r:id="rId9"/>
  </externalReferences>
  <definedNames>
    <definedName name="div" localSheetId="1">#REF!</definedName>
    <definedName name="div" localSheetId="3">#REF!</definedName>
    <definedName name="div" localSheetId="6">#REF!</definedName>
    <definedName name="div" localSheetId="7">#REF!</definedName>
    <definedName name="div">#REF!</definedName>
    <definedName name="DormanTM" localSheetId="1">#REF!</definedName>
    <definedName name="DormanTM" localSheetId="3">#REF!</definedName>
    <definedName name="DormanTM" localSheetId="6">#REF!</definedName>
    <definedName name="DormanTM" localSheetId="7">#REF!</definedName>
    <definedName name="DormanTM">#REF!</definedName>
    <definedName name="mizuno" localSheetId="1">#REF!</definedName>
    <definedName name="mizuno" localSheetId="3">#REF!</definedName>
    <definedName name="mizuno" localSheetId="6">#REF!</definedName>
    <definedName name="mizuno" localSheetId="7">#REF!</definedName>
    <definedName name="mizuno">#REF!</definedName>
    <definedName name="Playoff_K">[1]Example!$AS$3</definedName>
    <definedName name="Pool_K">[1]Example!$AS$2</definedName>
    <definedName name="_xlnm.Print_Area" localSheetId="1">'7tm AM r1'!$A$1:$AR$234</definedName>
    <definedName name="_xlnm.Print_Area" localSheetId="0">'7tm AM r2'!$A$1:$AR$234</definedName>
    <definedName name="_xlnm.Print_Area" localSheetId="3">'7tm PM r1'!$A$1:$AR$234</definedName>
    <definedName name="_xlnm.Print_Area" localSheetId="2">'7tm PM r2'!$A$1:$AR$234</definedName>
    <definedName name="score" localSheetId="1">#REF!</definedName>
    <definedName name="score" localSheetId="3">#REF!</definedName>
    <definedName name="score" localSheetId="6">#REF!</definedName>
    <definedName name="score" localSheetId="7">#REF!</definedName>
    <definedName name="score">#REF!</definedName>
    <definedName name="sex" localSheetId="1">#REF!</definedName>
    <definedName name="sex" localSheetId="3">#REF!</definedName>
    <definedName name="sex" localSheetId="6">#REF!</definedName>
    <definedName name="sex" localSheetId="7">#REF!</definedName>
    <definedName name="sex">#REF!</definedName>
    <definedName name="UniformNeeds" localSheetId="1">#REF!</definedName>
    <definedName name="UniformNeeds" localSheetId="3">#REF!</definedName>
    <definedName name="UniformNeeds" localSheetId="6">#REF!</definedName>
    <definedName name="UniformNeeds" localSheetId="7">#REF!</definedName>
    <definedName name="UniformNeeds">#REF!</definedName>
  </definedNames>
  <calcPr calcId="162913"/>
</workbook>
</file>

<file path=xl/calcChain.xml><?xml version="1.0" encoding="utf-8"?>
<calcChain xmlns="http://schemas.openxmlformats.org/spreadsheetml/2006/main">
  <c r="K39" i="9" l="1"/>
  <c r="F39" i="9"/>
  <c r="E39" i="9"/>
  <c r="K57" i="9"/>
  <c r="F57" i="9"/>
  <c r="E57" i="9"/>
  <c r="K58" i="9"/>
  <c r="F58" i="9"/>
  <c r="E58" i="9"/>
  <c r="K51" i="9"/>
  <c r="F51" i="9"/>
  <c r="E51" i="9"/>
  <c r="K7" i="9"/>
  <c r="F7" i="9"/>
  <c r="E7" i="9"/>
  <c r="K37" i="9"/>
  <c r="F37" i="9"/>
  <c r="E37" i="9"/>
  <c r="K56" i="9"/>
  <c r="F56" i="9"/>
  <c r="E56" i="9"/>
  <c r="K59" i="9"/>
  <c r="F59" i="9"/>
  <c r="E59" i="9"/>
  <c r="K5" i="9"/>
  <c r="F5" i="9"/>
  <c r="E5" i="9"/>
  <c r="K4" i="9"/>
  <c r="F4" i="9"/>
  <c r="E4" i="9"/>
  <c r="K6" i="9"/>
  <c r="F6" i="9"/>
  <c r="E6" i="9"/>
  <c r="K196" i="9"/>
  <c r="F196" i="9"/>
  <c r="E196" i="9"/>
  <c r="K71" i="9"/>
  <c r="F71" i="9"/>
  <c r="E71" i="9"/>
  <c r="K295" i="9"/>
  <c r="F295" i="9"/>
  <c r="E295" i="9"/>
  <c r="K294" i="9"/>
  <c r="F294" i="9"/>
  <c r="E294" i="9"/>
  <c r="K291" i="9"/>
  <c r="F291" i="9"/>
  <c r="E291" i="9"/>
  <c r="K293" i="9"/>
  <c r="F293" i="9"/>
  <c r="E293" i="9"/>
  <c r="K292" i="9"/>
  <c r="F292" i="9"/>
  <c r="E292" i="9"/>
  <c r="K290" i="9"/>
  <c r="F290" i="9"/>
  <c r="E290" i="9"/>
  <c r="K282" i="9"/>
  <c r="F282" i="9"/>
  <c r="E282" i="9"/>
  <c r="K283" i="9"/>
  <c r="F283" i="9"/>
  <c r="E283" i="9"/>
  <c r="K285" i="9"/>
  <c r="F285" i="9"/>
  <c r="E285" i="9"/>
  <c r="K280" i="9"/>
  <c r="F280" i="9"/>
  <c r="E280" i="9"/>
  <c r="K288" i="9"/>
  <c r="F288" i="9"/>
  <c r="E288" i="9"/>
  <c r="K278" i="9"/>
  <c r="F278" i="9"/>
  <c r="E278" i="9"/>
  <c r="K286" i="9"/>
  <c r="F286" i="9"/>
  <c r="E286" i="9"/>
  <c r="K287" i="9"/>
  <c r="F287" i="9"/>
  <c r="E287" i="9"/>
  <c r="K289" i="9"/>
  <c r="F289" i="9"/>
  <c r="E289" i="9"/>
  <c r="K279" i="9"/>
  <c r="F279" i="9"/>
  <c r="E279" i="9"/>
  <c r="K281" i="9"/>
  <c r="F281" i="9"/>
  <c r="E281" i="9"/>
  <c r="K284" i="9"/>
  <c r="F284" i="9"/>
  <c r="E284" i="9"/>
  <c r="K273" i="9"/>
  <c r="F273" i="9"/>
  <c r="E273" i="9"/>
  <c r="K274" i="9"/>
  <c r="F274" i="9"/>
  <c r="E274" i="9"/>
  <c r="K275" i="9"/>
  <c r="F275" i="9"/>
  <c r="E275" i="9"/>
  <c r="K276" i="9"/>
  <c r="F276" i="9"/>
  <c r="E276" i="9"/>
  <c r="K272" i="9"/>
  <c r="F272" i="9"/>
  <c r="E272" i="9"/>
  <c r="K277" i="9"/>
  <c r="F277" i="9"/>
  <c r="E277" i="9"/>
  <c r="C277" i="9" s="1"/>
  <c r="K271" i="9"/>
  <c r="F271" i="9"/>
  <c r="E271" i="9"/>
  <c r="K270" i="9"/>
  <c r="F270" i="9"/>
  <c r="E270" i="9"/>
  <c r="K269" i="9"/>
  <c r="F269" i="9"/>
  <c r="E269" i="9"/>
  <c r="K268" i="9"/>
  <c r="F268" i="9"/>
  <c r="E268" i="9"/>
  <c r="K267" i="9"/>
  <c r="F267" i="9"/>
  <c r="E267" i="9"/>
  <c r="K259" i="9"/>
  <c r="F259" i="9"/>
  <c r="E259" i="9"/>
  <c r="K262" i="9"/>
  <c r="F262" i="9"/>
  <c r="E262" i="9"/>
  <c r="K263" i="9"/>
  <c r="F263" i="9"/>
  <c r="E263" i="9"/>
  <c r="K261" i="9"/>
  <c r="F261" i="9"/>
  <c r="E261" i="9"/>
  <c r="K257" i="9"/>
  <c r="F257" i="9"/>
  <c r="E257" i="9"/>
  <c r="K260" i="9"/>
  <c r="F260" i="9"/>
  <c r="E260" i="9"/>
  <c r="K264" i="9"/>
  <c r="F264" i="9"/>
  <c r="E264" i="9"/>
  <c r="K266" i="9"/>
  <c r="F266" i="9"/>
  <c r="E266" i="9"/>
  <c r="K258" i="9"/>
  <c r="F258" i="9"/>
  <c r="E258" i="9"/>
  <c r="K265" i="9"/>
  <c r="F265" i="9"/>
  <c r="E265" i="9"/>
  <c r="K248" i="9"/>
  <c r="F248" i="9"/>
  <c r="E248" i="9"/>
  <c r="K256" i="9"/>
  <c r="F256" i="9"/>
  <c r="E256" i="9"/>
  <c r="K251" i="9"/>
  <c r="F251" i="9"/>
  <c r="E251" i="9"/>
  <c r="K252" i="9"/>
  <c r="F252" i="9"/>
  <c r="E252" i="9"/>
  <c r="K250" i="9"/>
  <c r="F250" i="9"/>
  <c r="E250" i="9"/>
  <c r="K253" i="9"/>
  <c r="F253" i="9"/>
  <c r="E253" i="9"/>
  <c r="K254" i="9"/>
  <c r="F254" i="9"/>
  <c r="E254" i="9"/>
  <c r="K245" i="9"/>
  <c r="F245" i="9"/>
  <c r="E245" i="9"/>
  <c r="K255" i="9"/>
  <c r="F255" i="9"/>
  <c r="E255" i="9"/>
  <c r="K249" i="9"/>
  <c r="F249" i="9"/>
  <c r="E249" i="9"/>
  <c r="K247" i="9"/>
  <c r="F247" i="9"/>
  <c r="E247" i="9"/>
  <c r="K244" i="9"/>
  <c r="F244" i="9"/>
  <c r="E244" i="9"/>
  <c r="K243" i="9"/>
  <c r="F243" i="9"/>
  <c r="E243" i="9"/>
  <c r="K246" i="9"/>
  <c r="F246" i="9"/>
  <c r="E246" i="9"/>
  <c r="K240" i="9"/>
  <c r="F240" i="9"/>
  <c r="E240" i="9"/>
  <c r="K230" i="9"/>
  <c r="F230" i="9"/>
  <c r="E230" i="9"/>
  <c r="K242" i="9"/>
  <c r="F242" i="9"/>
  <c r="E242" i="9"/>
  <c r="K233" i="9"/>
  <c r="F233" i="9"/>
  <c r="E233" i="9"/>
  <c r="K241" i="9"/>
  <c r="F241" i="9"/>
  <c r="E241" i="9"/>
  <c r="K237" i="9"/>
  <c r="F237" i="9"/>
  <c r="E237" i="9"/>
  <c r="K236" i="9"/>
  <c r="F236" i="9"/>
  <c r="E236" i="9"/>
  <c r="K223" i="9"/>
  <c r="F223" i="9"/>
  <c r="E223" i="9"/>
  <c r="K238" i="9"/>
  <c r="F238" i="9"/>
  <c r="E238" i="9"/>
  <c r="K235" i="9"/>
  <c r="F235" i="9"/>
  <c r="E235" i="9"/>
  <c r="K231" i="9"/>
  <c r="F231" i="9"/>
  <c r="E231" i="9"/>
  <c r="K218" i="9"/>
  <c r="F218" i="9"/>
  <c r="E218" i="9"/>
  <c r="K234" i="9"/>
  <c r="F234" i="9"/>
  <c r="E234" i="9"/>
  <c r="K227" i="9"/>
  <c r="F227" i="9"/>
  <c r="E227" i="9"/>
  <c r="K211" i="9"/>
  <c r="F211" i="9"/>
  <c r="E211" i="9"/>
  <c r="K212" i="9"/>
  <c r="F212" i="9"/>
  <c r="E212" i="9"/>
  <c r="K217" i="9"/>
  <c r="F217" i="9"/>
  <c r="E217" i="9"/>
  <c r="K220" i="9"/>
  <c r="F220" i="9"/>
  <c r="E220" i="9"/>
  <c r="K209" i="9"/>
  <c r="F209" i="9"/>
  <c r="E209" i="9"/>
  <c r="K228" i="9"/>
  <c r="F228" i="9"/>
  <c r="E228" i="9"/>
  <c r="K225" i="9"/>
  <c r="F225" i="9"/>
  <c r="E225" i="9"/>
  <c r="K215" i="9"/>
  <c r="F215" i="9"/>
  <c r="E215" i="9"/>
  <c r="K216" i="9"/>
  <c r="F216" i="9"/>
  <c r="E216" i="9"/>
  <c r="K229" i="9"/>
  <c r="F229" i="9"/>
  <c r="E229" i="9"/>
  <c r="K226" i="9"/>
  <c r="F226" i="9"/>
  <c r="E226" i="9"/>
  <c r="K222" i="9"/>
  <c r="F222" i="9"/>
  <c r="E222" i="9"/>
  <c r="K214" i="9"/>
  <c r="F214" i="9"/>
  <c r="E214" i="9"/>
  <c r="K224" i="9"/>
  <c r="F224" i="9"/>
  <c r="E224" i="9"/>
  <c r="K208" i="9"/>
  <c r="F208" i="9"/>
  <c r="E208" i="9"/>
  <c r="K213" i="9"/>
  <c r="F213" i="9"/>
  <c r="E213" i="9"/>
  <c r="K239" i="9"/>
  <c r="F239" i="9"/>
  <c r="E239" i="9"/>
  <c r="K207" i="9"/>
  <c r="F207" i="9"/>
  <c r="E207" i="9"/>
  <c r="K232" i="9"/>
  <c r="F232" i="9"/>
  <c r="E232" i="9"/>
  <c r="K210" i="9"/>
  <c r="F210" i="9"/>
  <c r="E210" i="9"/>
  <c r="K221" i="9"/>
  <c r="F221" i="9"/>
  <c r="E221" i="9"/>
  <c r="K219" i="9"/>
  <c r="F219" i="9"/>
  <c r="E219" i="9"/>
  <c r="K195" i="9"/>
  <c r="F195" i="9"/>
  <c r="E195" i="9"/>
  <c r="K201" i="9"/>
  <c r="F201" i="9"/>
  <c r="E201" i="9"/>
  <c r="K202" i="9"/>
  <c r="F202" i="9"/>
  <c r="E202" i="9"/>
  <c r="K205" i="9"/>
  <c r="F205" i="9"/>
  <c r="E205" i="9"/>
  <c r="K200" i="9"/>
  <c r="F200" i="9"/>
  <c r="E200" i="9"/>
  <c r="K206" i="9"/>
  <c r="F206" i="9"/>
  <c r="E206" i="9"/>
  <c r="K190" i="9"/>
  <c r="F190" i="9"/>
  <c r="E190" i="9"/>
  <c r="K198" i="9"/>
  <c r="F198" i="9"/>
  <c r="E198" i="9"/>
  <c r="K204" i="9"/>
  <c r="F204" i="9"/>
  <c r="E204" i="9"/>
  <c r="K203" i="9"/>
  <c r="F203" i="9"/>
  <c r="E203" i="9"/>
  <c r="K193" i="9"/>
  <c r="F193" i="9"/>
  <c r="E193" i="9"/>
  <c r="K194" i="9"/>
  <c r="F194" i="9"/>
  <c r="E194" i="9"/>
  <c r="K197" i="9"/>
  <c r="F197" i="9"/>
  <c r="E197" i="9"/>
  <c r="K199" i="9"/>
  <c r="F199" i="9"/>
  <c r="E199" i="9"/>
  <c r="K192" i="9"/>
  <c r="F192" i="9"/>
  <c r="E192" i="9"/>
  <c r="K188" i="9"/>
  <c r="F188" i="9"/>
  <c r="E188" i="9"/>
  <c r="K191" i="9"/>
  <c r="F191" i="9"/>
  <c r="E191" i="9"/>
  <c r="K187" i="9"/>
  <c r="F187" i="9"/>
  <c r="E187" i="9"/>
  <c r="K186" i="9"/>
  <c r="F186" i="9"/>
  <c r="E186" i="9"/>
  <c r="K189" i="9"/>
  <c r="F189" i="9"/>
  <c r="E189" i="9"/>
  <c r="K179" i="9"/>
  <c r="F179" i="9"/>
  <c r="E179" i="9"/>
  <c r="K161" i="9"/>
  <c r="F161" i="9"/>
  <c r="E161" i="9"/>
  <c r="K164" i="9"/>
  <c r="F164" i="9"/>
  <c r="E164" i="9"/>
  <c r="K178" i="9"/>
  <c r="F178" i="9"/>
  <c r="E178" i="9"/>
  <c r="K163" i="9"/>
  <c r="F163" i="9"/>
  <c r="E163" i="9"/>
  <c r="K171" i="9"/>
  <c r="F171" i="9"/>
  <c r="E171" i="9"/>
  <c r="K175" i="9"/>
  <c r="F175" i="9"/>
  <c r="E175" i="9"/>
  <c r="K174" i="9"/>
  <c r="F174" i="9"/>
  <c r="E174" i="9"/>
  <c r="K172" i="9"/>
  <c r="F172" i="9"/>
  <c r="E172" i="9"/>
  <c r="K173" i="9"/>
  <c r="F173" i="9"/>
  <c r="E173" i="9"/>
  <c r="K183" i="9"/>
  <c r="F183" i="9"/>
  <c r="E183" i="9"/>
  <c r="K160" i="9"/>
  <c r="F160" i="9"/>
  <c r="E160" i="9"/>
  <c r="K170" i="9"/>
  <c r="F170" i="9"/>
  <c r="E170" i="9"/>
  <c r="K158" i="9"/>
  <c r="F158" i="9"/>
  <c r="E158" i="9"/>
  <c r="K166" i="9"/>
  <c r="F166" i="9"/>
  <c r="E166" i="9"/>
  <c r="K182" i="9"/>
  <c r="F182" i="9"/>
  <c r="E182" i="9"/>
  <c r="K184" i="9"/>
  <c r="F184" i="9"/>
  <c r="E184" i="9"/>
  <c r="K185" i="9"/>
  <c r="F185" i="9"/>
  <c r="E185" i="9"/>
  <c r="K176" i="9"/>
  <c r="F176" i="9"/>
  <c r="E176" i="9"/>
  <c r="K169" i="9"/>
  <c r="F169" i="9"/>
  <c r="E169" i="9"/>
  <c r="K168" i="9"/>
  <c r="F168" i="9"/>
  <c r="E168" i="9"/>
  <c r="K180" i="9"/>
  <c r="F180" i="9"/>
  <c r="E180" i="9"/>
  <c r="K159" i="9"/>
  <c r="F159" i="9"/>
  <c r="E159" i="9"/>
  <c r="K165" i="9"/>
  <c r="F165" i="9"/>
  <c r="E165" i="9"/>
  <c r="K177" i="9"/>
  <c r="F177" i="9"/>
  <c r="E177" i="9"/>
  <c r="K181" i="9"/>
  <c r="F181" i="9"/>
  <c r="E181" i="9"/>
  <c r="K162" i="9"/>
  <c r="F162" i="9"/>
  <c r="E162" i="9"/>
  <c r="K167" i="9"/>
  <c r="F167" i="9"/>
  <c r="E167" i="9"/>
  <c r="K137" i="9"/>
  <c r="F137" i="9"/>
  <c r="E137" i="9"/>
  <c r="K126" i="9"/>
  <c r="F126" i="9"/>
  <c r="E126" i="9"/>
  <c r="K141" i="9"/>
  <c r="F141" i="9"/>
  <c r="E141" i="9"/>
  <c r="K147" i="9"/>
  <c r="F147" i="9"/>
  <c r="E147" i="9"/>
  <c r="K155" i="9"/>
  <c r="F155" i="9"/>
  <c r="E155" i="9"/>
  <c r="K130" i="9"/>
  <c r="F130" i="9"/>
  <c r="E130" i="9"/>
  <c r="K144" i="9"/>
  <c r="F144" i="9"/>
  <c r="E144" i="9"/>
  <c r="K153" i="9"/>
  <c r="F153" i="9"/>
  <c r="E153" i="9"/>
  <c r="K146" i="9"/>
  <c r="F146" i="9"/>
  <c r="E146" i="9"/>
  <c r="K152" i="9"/>
  <c r="F152" i="9"/>
  <c r="E152" i="9"/>
  <c r="K157" i="9"/>
  <c r="F157" i="9"/>
  <c r="E157" i="9"/>
  <c r="K140" i="9"/>
  <c r="F140" i="9"/>
  <c r="E140" i="9"/>
  <c r="K145" i="9"/>
  <c r="F145" i="9"/>
  <c r="E145" i="9"/>
  <c r="K149" i="9"/>
  <c r="F149" i="9"/>
  <c r="E149" i="9"/>
  <c r="K156" i="9"/>
  <c r="F156" i="9"/>
  <c r="E156" i="9"/>
  <c r="K154" i="9"/>
  <c r="F154" i="9"/>
  <c r="E154" i="9"/>
  <c r="K151" i="9"/>
  <c r="F151" i="9"/>
  <c r="E151" i="9"/>
  <c r="K138" i="9"/>
  <c r="F138" i="9"/>
  <c r="E138" i="9"/>
  <c r="K129" i="9"/>
  <c r="F129" i="9"/>
  <c r="E129" i="9"/>
  <c r="K143" i="9"/>
  <c r="F143" i="9"/>
  <c r="E143" i="9"/>
  <c r="K150" i="9"/>
  <c r="F150" i="9"/>
  <c r="E150" i="9"/>
  <c r="K128" i="9"/>
  <c r="F128" i="9"/>
  <c r="E128" i="9"/>
  <c r="K136" i="9"/>
  <c r="F136" i="9"/>
  <c r="E136" i="9"/>
  <c r="K139" i="9"/>
  <c r="F139" i="9"/>
  <c r="E139" i="9"/>
  <c r="K142" i="9"/>
  <c r="F142" i="9"/>
  <c r="E142" i="9"/>
  <c r="K133" i="9"/>
  <c r="F133" i="9"/>
  <c r="E133" i="9"/>
  <c r="K148" i="9"/>
  <c r="F148" i="9"/>
  <c r="E148" i="9"/>
  <c r="K127" i="9"/>
  <c r="F127" i="9"/>
  <c r="E127" i="9"/>
  <c r="K135" i="9"/>
  <c r="F135" i="9"/>
  <c r="E135" i="9"/>
  <c r="K132" i="9"/>
  <c r="F132" i="9"/>
  <c r="E132" i="9"/>
  <c r="K131" i="9"/>
  <c r="F131" i="9"/>
  <c r="E131" i="9"/>
  <c r="K125" i="9"/>
  <c r="F125" i="9"/>
  <c r="E125" i="9"/>
  <c r="K134" i="9"/>
  <c r="F134" i="9"/>
  <c r="E134" i="9"/>
  <c r="K123" i="9"/>
  <c r="F123" i="9"/>
  <c r="E123" i="9"/>
  <c r="K104" i="9"/>
  <c r="F104" i="9"/>
  <c r="E104" i="9"/>
  <c r="K120" i="9"/>
  <c r="F120" i="9"/>
  <c r="E120" i="9"/>
  <c r="K114" i="9"/>
  <c r="F114" i="9"/>
  <c r="E114" i="9"/>
  <c r="K124" i="9"/>
  <c r="F124" i="9"/>
  <c r="E124" i="9"/>
  <c r="K119" i="9"/>
  <c r="F119" i="9"/>
  <c r="E119" i="9"/>
  <c r="K115" i="9"/>
  <c r="F115" i="9"/>
  <c r="E115" i="9"/>
  <c r="K100" i="9"/>
  <c r="F100" i="9"/>
  <c r="E100" i="9"/>
  <c r="K99" i="9"/>
  <c r="F99" i="9"/>
  <c r="E99" i="9"/>
  <c r="K113" i="9"/>
  <c r="F113" i="9"/>
  <c r="E113" i="9"/>
  <c r="K112" i="9"/>
  <c r="F112" i="9"/>
  <c r="E112" i="9"/>
  <c r="K121" i="9"/>
  <c r="F121" i="9"/>
  <c r="E121" i="9"/>
  <c r="K110" i="9"/>
  <c r="F110" i="9"/>
  <c r="E110" i="9"/>
  <c r="K109" i="9"/>
  <c r="F109" i="9"/>
  <c r="E109" i="9"/>
  <c r="K108" i="9"/>
  <c r="F108" i="9"/>
  <c r="E108" i="9"/>
  <c r="K111" i="9"/>
  <c r="F111" i="9"/>
  <c r="E111" i="9"/>
  <c r="K118" i="9"/>
  <c r="F118" i="9"/>
  <c r="E118" i="9"/>
  <c r="K102" i="9"/>
  <c r="F102" i="9"/>
  <c r="E102" i="9"/>
  <c r="K101" i="9"/>
  <c r="F101" i="9"/>
  <c r="E101" i="9"/>
  <c r="K107" i="9"/>
  <c r="F107" i="9"/>
  <c r="E107" i="9"/>
  <c r="K106" i="9"/>
  <c r="F106" i="9"/>
  <c r="E106" i="9"/>
  <c r="K103" i="9"/>
  <c r="F103" i="9"/>
  <c r="E103" i="9"/>
  <c r="K122" i="9"/>
  <c r="F122" i="9"/>
  <c r="E122" i="9"/>
  <c r="K105" i="9"/>
  <c r="F105" i="9"/>
  <c r="E105" i="9"/>
  <c r="K116" i="9"/>
  <c r="F116" i="9"/>
  <c r="E116" i="9"/>
  <c r="K117" i="9"/>
  <c r="F117" i="9"/>
  <c r="E117" i="9"/>
  <c r="K96" i="9"/>
  <c r="F96" i="9"/>
  <c r="E96" i="9"/>
  <c r="K97" i="9"/>
  <c r="F97" i="9"/>
  <c r="E97" i="9"/>
  <c r="K93" i="9"/>
  <c r="F93" i="9"/>
  <c r="E93" i="9"/>
  <c r="K82" i="9"/>
  <c r="F82" i="9"/>
  <c r="E82" i="9"/>
  <c r="K89" i="9"/>
  <c r="F89" i="9"/>
  <c r="E89" i="9"/>
  <c r="K88" i="9"/>
  <c r="F88" i="9"/>
  <c r="E88" i="9"/>
  <c r="K83" i="9"/>
  <c r="F83" i="9"/>
  <c r="E83" i="9"/>
  <c r="K81" i="9"/>
  <c r="F81" i="9"/>
  <c r="E81" i="9"/>
  <c r="K90" i="9"/>
  <c r="F90" i="9"/>
  <c r="E90" i="9"/>
  <c r="K95" i="9"/>
  <c r="F95" i="9"/>
  <c r="E95" i="9"/>
  <c r="K98" i="9"/>
  <c r="F98" i="9"/>
  <c r="E98" i="9"/>
  <c r="K87" i="9"/>
  <c r="F87" i="9"/>
  <c r="E87" i="9"/>
  <c r="K92" i="9"/>
  <c r="F92" i="9"/>
  <c r="E92" i="9"/>
  <c r="K94" i="9"/>
  <c r="F94" i="9"/>
  <c r="E94" i="9"/>
  <c r="K84" i="9"/>
  <c r="F84" i="9"/>
  <c r="E84" i="9"/>
  <c r="K77" i="9"/>
  <c r="F77" i="9"/>
  <c r="E77" i="9"/>
  <c r="K78" i="9"/>
  <c r="F78" i="9"/>
  <c r="E78" i="9"/>
  <c r="K91" i="9"/>
  <c r="F91" i="9"/>
  <c r="E91" i="9"/>
  <c r="K86" i="9"/>
  <c r="F86" i="9"/>
  <c r="E86" i="9"/>
  <c r="K85" i="9"/>
  <c r="F85" i="9"/>
  <c r="E85" i="9"/>
  <c r="K80" i="9"/>
  <c r="F80" i="9"/>
  <c r="E80" i="9"/>
  <c r="K76" i="9"/>
  <c r="F76" i="9"/>
  <c r="E76" i="9"/>
  <c r="K75" i="9"/>
  <c r="F75" i="9"/>
  <c r="E75" i="9"/>
  <c r="K79" i="9"/>
  <c r="F79" i="9"/>
  <c r="E79" i="9"/>
  <c r="K74" i="9"/>
  <c r="F74" i="9"/>
  <c r="E74" i="9"/>
  <c r="K72" i="9"/>
  <c r="F72" i="9"/>
  <c r="E72" i="9"/>
  <c r="K68" i="9"/>
  <c r="F68" i="9"/>
  <c r="E68" i="9"/>
  <c r="K64" i="9"/>
  <c r="F64" i="9"/>
  <c r="E64" i="9"/>
  <c r="K63" i="9"/>
  <c r="F63" i="9"/>
  <c r="E63" i="9"/>
  <c r="K70" i="9"/>
  <c r="F70" i="9"/>
  <c r="E70" i="9"/>
  <c r="K67" i="9"/>
  <c r="F67" i="9"/>
  <c r="E67" i="9"/>
  <c r="K61" i="9"/>
  <c r="F61" i="9"/>
  <c r="E61" i="9"/>
  <c r="K62" i="9"/>
  <c r="F62" i="9"/>
  <c r="E62" i="9"/>
  <c r="K60" i="9"/>
  <c r="F60" i="9"/>
  <c r="E60" i="9"/>
  <c r="K69" i="9"/>
  <c r="F69" i="9"/>
  <c r="E69" i="9"/>
  <c r="K66" i="9"/>
  <c r="F66" i="9"/>
  <c r="E66" i="9"/>
  <c r="K73" i="9"/>
  <c r="F73" i="9"/>
  <c r="E73" i="9"/>
  <c r="K65" i="9"/>
  <c r="F65" i="9"/>
  <c r="E65" i="9"/>
  <c r="K50" i="9"/>
  <c r="F50" i="9"/>
  <c r="E50" i="9"/>
  <c r="K36" i="9"/>
  <c r="F36" i="9"/>
  <c r="E36" i="9"/>
  <c r="K52" i="9"/>
  <c r="F52" i="9"/>
  <c r="E52" i="9"/>
  <c r="K49" i="9"/>
  <c r="F49" i="9"/>
  <c r="E49" i="9"/>
  <c r="K48" i="9"/>
  <c r="F48" i="9"/>
  <c r="E48" i="9"/>
  <c r="K54" i="9"/>
  <c r="F54" i="9"/>
  <c r="E54" i="9"/>
  <c r="K47" i="9"/>
  <c r="F47" i="9"/>
  <c r="E47" i="9"/>
  <c r="K46" i="9"/>
  <c r="F46" i="9"/>
  <c r="E46" i="9"/>
  <c r="K55" i="9"/>
  <c r="F55" i="9"/>
  <c r="E55" i="9"/>
  <c r="K45" i="9"/>
  <c r="F45" i="9"/>
  <c r="E45" i="9"/>
  <c r="K44" i="9"/>
  <c r="F44" i="9"/>
  <c r="E44" i="9"/>
  <c r="K43" i="9"/>
  <c r="F43" i="9"/>
  <c r="E43" i="9"/>
  <c r="K42" i="9"/>
  <c r="F42" i="9"/>
  <c r="E42" i="9"/>
  <c r="K41" i="9"/>
  <c r="F41" i="9"/>
  <c r="E41" i="9"/>
  <c r="K40" i="9"/>
  <c r="F40" i="9"/>
  <c r="E40" i="9"/>
  <c r="K53" i="9"/>
  <c r="F53" i="9"/>
  <c r="E53" i="9"/>
  <c r="K25" i="9"/>
  <c r="F25" i="9"/>
  <c r="E25" i="9"/>
  <c r="K35" i="9"/>
  <c r="F35" i="9"/>
  <c r="E35" i="9"/>
  <c r="K21" i="9"/>
  <c r="F21" i="9"/>
  <c r="E21" i="9"/>
  <c r="K32" i="9"/>
  <c r="F32" i="9"/>
  <c r="E32" i="9"/>
  <c r="K38" i="9"/>
  <c r="F38" i="9"/>
  <c r="E38" i="9"/>
  <c r="K19" i="9"/>
  <c r="F19" i="9"/>
  <c r="E19" i="9"/>
  <c r="K30" i="9"/>
  <c r="F30" i="9"/>
  <c r="E30" i="9"/>
  <c r="K24" i="9"/>
  <c r="F24" i="9"/>
  <c r="E24" i="9"/>
  <c r="K23" i="9"/>
  <c r="F23" i="9"/>
  <c r="E23" i="9"/>
  <c r="K17" i="9"/>
  <c r="F17" i="9"/>
  <c r="E17" i="9"/>
  <c r="K28" i="9"/>
  <c r="F28" i="9"/>
  <c r="E28" i="9"/>
  <c r="K26" i="9"/>
  <c r="F26" i="9"/>
  <c r="E26" i="9"/>
  <c r="K29" i="9"/>
  <c r="F29" i="9"/>
  <c r="E29" i="9"/>
  <c r="K18" i="9"/>
  <c r="F18" i="9"/>
  <c r="E18" i="9"/>
  <c r="K20" i="9"/>
  <c r="F20" i="9"/>
  <c r="E20" i="9"/>
  <c r="K34" i="9"/>
  <c r="F34" i="9"/>
  <c r="E34" i="9"/>
  <c r="K33" i="9"/>
  <c r="F33" i="9"/>
  <c r="E33" i="9"/>
  <c r="K14" i="9"/>
  <c r="F14" i="9"/>
  <c r="E14" i="9"/>
  <c r="K15" i="9"/>
  <c r="F15" i="9"/>
  <c r="E15" i="9"/>
  <c r="K22" i="9"/>
  <c r="F22" i="9"/>
  <c r="E22" i="9"/>
  <c r="K31" i="9"/>
  <c r="F31" i="9"/>
  <c r="E31" i="9"/>
  <c r="K27" i="9"/>
  <c r="F27" i="9"/>
  <c r="E27" i="9"/>
  <c r="K16" i="9"/>
  <c r="F16" i="9"/>
  <c r="E16" i="9"/>
  <c r="K11" i="9"/>
  <c r="F11" i="9"/>
  <c r="E11" i="9"/>
  <c r="K9" i="9"/>
  <c r="F9" i="9"/>
  <c r="E9" i="9"/>
  <c r="K13" i="9"/>
  <c r="F13" i="9"/>
  <c r="E13" i="9"/>
  <c r="K12" i="9"/>
  <c r="F12" i="9"/>
  <c r="E12" i="9"/>
  <c r="K10" i="9"/>
  <c r="F10" i="9"/>
  <c r="E10" i="9"/>
  <c r="K8" i="9"/>
  <c r="F8" i="9"/>
  <c r="E8" i="9"/>
  <c r="K3" i="9"/>
  <c r="F3" i="9"/>
  <c r="E3" i="9"/>
  <c r="C3" i="9" s="1"/>
  <c r="K2" i="9"/>
  <c r="D2" i="9" s="1"/>
  <c r="F2" i="9"/>
  <c r="E2" i="9"/>
  <c r="C2" i="9"/>
  <c r="K420" i="8"/>
  <c r="D420" i="8" s="1"/>
  <c r="F420" i="8"/>
  <c r="E420" i="8"/>
  <c r="C420" i="8"/>
  <c r="K418" i="8"/>
  <c r="F418" i="8"/>
  <c r="E418" i="8"/>
  <c r="K417" i="8"/>
  <c r="F417" i="8"/>
  <c r="E417" i="8"/>
  <c r="K416" i="8"/>
  <c r="F416" i="8"/>
  <c r="E416" i="8"/>
  <c r="C416" i="8"/>
  <c r="K415" i="8"/>
  <c r="F415" i="8"/>
  <c r="E415" i="8"/>
  <c r="K414" i="8"/>
  <c r="F414" i="8"/>
  <c r="E414" i="8"/>
  <c r="K412" i="8"/>
  <c r="F412" i="8"/>
  <c r="E412" i="8"/>
  <c r="K411" i="8"/>
  <c r="F411" i="8"/>
  <c r="E411" i="8"/>
  <c r="C411" i="8"/>
  <c r="K410" i="8"/>
  <c r="D410" i="8" s="1"/>
  <c r="F410" i="8"/>
  <c r="E410" i="8"/>
  <c r="K409" i="8"/>
  <c r="F409" i="8"/>
  <c r="E409" i="8"/>
  <c r="K408" i="8"/>
  <c r="F408" i="8"/>
  <c r="E408" i="8"/>
  <c r="C408" i="8" s="1"/>
  <c r="D408" i="8" s="1"/>
  <c r="D409" i="8" s="1"/>
  <c r="K406" i="8"/>
  <c r="D406" i="8" s="1"/>
  <c r="F406" i="8"/>
  <c r="E406" i="8"/>
  <c r="C406" i="8"/>
  <c r="K405" i="8"/>
  <c r="F405" i="8"/>
  <c r="E405" i="8"/>
  <c r="K404" i="8"/>
  <c r="F404" i="8"/>
  <c r="E404" i="8"/>
  <c r="K401" i="8"/>
  <c r="F401" i="8"/>
  <c r="E401" i="8"/>
  <c r="K400" i="8"/>
  <c r="F400" i="8"/>
  <c r="E400" i="8"/>
  <c r="K399" i="8"/>
  <c r="F399" i="8"/>
  <c r="E399" i="8"/>
  <c r="K398" i="8"/>
  <c r="F398" i="8"/>
  <c r="E398" i="8"/>
  <c r="K397" i="8"/>
  <c r="F397" i="8"/>
  <c r="E397" i="8"/>
  <c r="K396" i="8"/>
  <c r="F396" i="8"/>
  <c r="E396" i="8"/>
  <c r="K395" i="8"/>
  <c r="F395" i="8"/>
  <c r="E395" i="8"/>
  <c r="K394" i="8"/>
  <c r="F394" i="8"/>
  <c r="E394" i="8"/>
  <c r="K393" i="8"/>
  <c r="F393" i="8"/>
  <c r="E393" i="8"/>
  <c r="K392" i="8"/>
  <c r="F392" i="8"/>
  <c r="E392" i="8"/>
  <c r="K391" i="8"/>
  <c r="F391" i="8"/>
  <c r="E391" i="8"/>
  <c r="K390" i="8"/>
  <c r="F390" i="8"/>
  <c r="E390" i="8"/>
  <c r="K389" i="8"/>
  <c r="F389" i="8"/>
  <c r="E389" i="8"/>
  <c r="K388" i="8"/>
  <c r="F388" i="8"/>
  <c r="E388" i="8"/>
  <c r="K387" i="8"/>
  <c r="F387" i="8"/>
  <c r="E387" i="8"/>
  <c r="K386" i="8"/>
  <c r="F386" i="8"/>
  <c r="E386" i="8"/>
  <c r="K385" i="8"/>
  <c r="F385" i="8"/>
  <c r="E385" i="8"/>
  <c r="K384" i="8"/>
  <c r="F384" i="8"/>
  <c r="E384" i="8"/>
  <c r="K383" i="8"/>
  <c r="F383" i="8"/>
  <c r="E383" i="8"/>
  <c r="K382" i="8"/>
  <c r="F382" i="8"/>
  <c r="E382" i="8"/>
  <c r="K381" i="8"/>
  <c r="F381" i="8"/>
  <c r="E381" i="8"/>
  <c r="K380" i="8"/>
  <c r="F380" i="8"/>
  <c r="E380" i="8"/>
  <c r="K379" i="8"/>
  <c r="F379" i="8"/>
  <c r="E379" i="8"/>
  <c r="K378" i="8"/>
  <c r="F378" i="8"/>
  <c r="E378" i="8"/>
  <c r="K377" i="8"/>
  <c r="F377" i="8"/>
  <c r="E377" i="8"/>
  <c r="K376" i="8"/>
  <c r="F376" i="8"/>
  <c r="E376" i="8"/>
  <c r="K375" i="8"/>
  <c r="F375" i="8"/>
  <c r="E375" i="8"/>
  <c r="K374" i="8"/>
  <c r="F374" i="8"/>
  <c r="E374" i="8"/>
  <c r="K373" i="8"/>
  <c r="F373" i="8"/>
  <c r="E373" i="8"/>
  <c r="K372" i="8"/>
  <c r="F372" i="8"/>
  <c r="E372" i="8"/>
  <c r="K371" i="8"/>
  <c r="F371" i="8"/>
  <c r="E371" i="8"/>
  <c r="K370" i="8"/>
  <c r="F370" i="8"/>
  <c r="E370" i="8"/>
  <c r="K369" i="8"/>
  <c r="F369" i="8"/>
  <c r="E369" i="8"/>
  <c r="K368" i="8"/>
  <c r="F368" i="8"/>
  <c r="E368" i="8"/>
  <c r="K367" i="8"/>
  <c r="F367" i="8"/>
  <c r="E367" i="8"/>
  <c r="K366" i="8"/>
  <c r="F366" i="8"/>
  <c r="E366" i="8"/>
  <c r="K365" i="8"/>
  <c r="F365" i="8"/>
  <c r="E365" i="8"/>
  <c r="K364" i="8"/>
  <c r="F364" i="8"/>
  <c r="E364" i="8"/>
  <c r="K363" i="8"/>
  <c r="F363" i="8"/>
  <c r="E363" i="8"/>
  <c r="K362" i="8"/>
  <c r="F362" i="8"/>
  <c r="E362" i="8"/>
  <c r="K361" i="8"/>
  <c r="F361" i="8"/>
  <c r="E361" i="8"/>
  <c r="K360" i="8"/>
  <c r="F360" i="8"/>
  <c r="E360" i="8"/>
  <c r="K359" i="8"/>
  <c r="F359" i="8"/>
  <c r="E359" i="8"/>
  <c r="K358" i="8"/>
  <c r="F358" i="8"/>
  <c r="E358" i="8"/>
  <c r="K357" i="8"/>
  <c r="F357" i="8"/>
  <c r="E357" i="8"/>
  <c r="K356" i="8"/>
  <c r="F356" i="8"/>
  <c r="E356" i="8"/>
  <c r="K355" i="8"/>
  <c r="F355" i="8"/>
  <c r="E355" i="8"/>
  <c r="K354" i="8"/>
  <c r="F354" i="8"/>
  <c r="E354" i="8"/>
  <c r="K353" i="8"/>
  <c r="F353" i="8"/>
  <c r="E353" i="8"/>
  <c r="K352" i="8"/>
  <c r="F352" i="8"/>
  <c r="E352" i="8"/>
  <c r="K351" i="8"/>
  <c r="F351" i="8"/>
  <c r="E351" i="8"/>
  <c r="K350" i="8"/>
  <c r="F350" i="8"/>
  <c r="E350" i="8"/>
  <c r="K349" i="8"/>
  <c r="F349" i="8"/>
  <c r="E349" i="8"/>
  <c r="K348" i="8"/>
  <c r="F348" i="8"/>
  <c r="E348" i="8"/>
  <c r="K347" i="8"/>
  <c r="F347" i="8"/>
  <c r="E347" i="8"/>
  <c r="K346" i="8"/>
  <c r="F346" i="8"/>
  <c r="E346" i="8"/>
  <c r="K345" i="8"/>
  <c r="F345" i="8"/>
  <c r="E345" i="8"/>
  <c r="K344" i="8"/>
  <c r="F344" i="8"/>
  <c r="E344" i="8"/>
  <c r="K343" i="8"/>
  <c r="F343" i="8"/>
  <c r="E343" i="8"/>
  <c r="K342" i="8"/>
  <c r="F342" i="8"/>
  <c r="E342" i="8"/>
  <c r="K341" i="8"/>
  <c r="F341" i="8"/>
  <c r="E341" i="8"/>
  <c r="K340" i="8"/>
  <c r="F340" i="8"/>
  <c r="E340" i="8"/>
  <c r="K339" i="8"/>
  <c r="F339" i="8"/>
  <c r="E339" i="8"/>
  <c r="K338" i="8"/>
  <c r="F338" i="8"/>
  <c r="E338" i="8"/>
  <c r="K337" i="8"/>
  <c r="F337" i="8"/>
  <c r="E337" i="8"/>
  <c r="K336" i="8"/>
  <c r="F336" i="8"/>
  <c r="E336" i="8"/>
  <c r="K335" i="8"/>
  <c r="F335" i="8"/>
  <c r="E335" i="8"/>
  <c r="K334" i="8"/>
  <c r="F334" i="8"/>
  <c r="E334" i="8"/>
  <c r="K333" i="8"/>
  <c r="F333" i="8"/>
  <c r="E333" i="8"/>
  <c r="K332" i="8"/>
  <c r="F332" i="8"/>
  <c r="E332" i="8"/>
  <c r="K331" i="8"/>
  <c r="F331" i="8"/>
  <c r="E331" i="8"/>
  <c r="K330" i="8"/>
  <c r="F330" i="8"/>
  <c r="E330" i="8"/>
  <c r="K329" i="8"/>
  <c r="F329" i="8"/>
  <c r="E329" i="8"/>
  <c r="K328" i="8"/>
  <c r="F328" i="8"/>
  <c r="E328" i="8"/>
  <c r="K327" i="8"/>
  <c r="F327" i="8"/>
  <c r="E327" i="8"/>
  <c r="K326" i="8"/>
  <c r="F326" i="8"/>
  <c r="E326" i="8"/>
  <c r="K325" i="8"/>
  <c r="F325" i="8"/>
  <c r="E325" i="8"/>
  <c r="K324" i="8"/>
  <c r="F324" i="8"/>
  <c r="E324" i="8"/>
  <c r="K323" i="8"/>
  <c r="F323" i="8"/>
  <c r="E323" i="8"/>
  <c r="K322" i="8"/>
  <c r="F322" i="8"/>
  <c r="E322" i="8"/>
  <c r="K321" i="8"/>
  <c r="F321" i="8"/>
  <c r="E321" i="8"/>
  <c r="K320" i="8"/>
  <c r="F320" i="8"/>
  <c r="E320" i="8"/>
  <c r="K319" i="8"/>
  <c r="F319" i="8"/>
  <c r="E319" i="8"/>
  <c r="K318" i="8"/>
  <c r="F318" i="8"/>
  <c r="E318" i="8"/>
  <c r="K317" i="8"/>
  <c r="F317" i="8"/>
  <c r="E317" i="8"/>
  <c r="K316" i="8"/>
  <c r="F316" i="8"/>
  <c r="E316" i="8"/>
  <c r="K315" i="8"/>
  <c r="F315" i="8"/>
  <c r="E315" i="8"/>
  <c r="K314" i="8"/>
  <c r="F314" i="8"/>
  <c r="E314" i="8"/>
  <c r="K313" i="8"/>
  <c r="F313" i="8"/>
  <c r="E313" i="8"/>
  <c r="K312" i="8"/>
  <c r="F312" i="8"/>
  <c r="E312" i="8"/>
  <c r="K311" i="8"/>
  <c r="F311" i="8"/>
  <c r="E311" i="8"/>
  <c r="K310" i="8"/>
  <c r="F310" i="8"/>
  <c r="E310" i="8"/>
  <c r="K309" i="8"/>
  <c r="F309" i="8"/>
  <c r="E309" i="8"/>
  <c r="K308" i="8"/>
  <c r="F308" i="8"/>
  <c r="E308" i="8"/>
  <c r="K307" i="8"/>
  <c r="F307" i="8"/>
  <c r="E307" i="8"/>
  <c r="K306" i="8"/>
  <c r="F306" i="8"/>
  <c r="E306" i="8"/>
  <c r="K305" i="8"/>
  <c r="F305" i="8"/>
  <c r="E305" i="8"/>
  <c r="K304" i="8"/>
  <c r="F304" i="8"/>
  <c r="E304" i="8"/>
  <c r="K303" i="8"/>
  <c r="F303" i="8"/>
  <c r="E303" i="8"/>
  <c r="K302" i="8"/>
  <c r="F302" i="8"/>
  <c r="E302" i="8"/>
  <c r="K301" i="8"/>
  <c r="F301" i="8"/>
  <c r="E301" i="8"/>
  <c r="K300" i="8"/>
  <c r="F300" i="8"/>
  <c r="E300" i="8"/>
  <c r="K299" i="8"/>
  <c r="F299" i="8"/>
  <c r="E299" i="8"/>
  <c r="K298" i="8"/>
  <c r="F298" i="8"/>
  <c r="E298" i="8"/>
  <c r="K297" i="8"/>
  <c r="F297" i="8"/>
  <c r="E297" i="8"/>
  <c r="K296" i="8"/>
  <c r="F296" i="8"/>
  <c r="E296" i="8"/>
  <c r="K295" i="8"/>
  <c r="F295" i="8"/>
  <c r="E295" i="8"/>
  <c r="K294" i="8"/>
  <c r="F294" i="8"/>
  <c r="E294" i="8"/>
  <c r="K293" i="8"/>
  <c r="F293" i="8"/>
  <c r="E293" i="8"/>
  <c r="K292" i="8"/>
  <c r="F292" i="8"/>
  <c r="E292" i="8"/>
  <c r="K291" i="8"/>
  <c r="F291" i="8"/>
  <c r="E291" i="8"/>
  <c r="K290" i="8"/>
  <c r="F290" i="8"/>
  <c r="E290" i="8"/>
  <c r="K289" i="8"/>
  <c r="F289" i="8"/>
  <c r="E289" i="8"/>
  <c r="K288" i="8"/>
  <c r="F288" i="8"/>
  <c r="E288" i="8"/>
  <c r="K287" i="8"/>
  <c r="F287" i="8"/>
  <c r="E287" i="8"/>
  <c r="K286" i="8"/>
  <c r="F286" i="8"/>
  <c r="E286" i="8"/>
  <c r="K285" i="8"/>
  <c r="F285" i="8"/>
  <c r="E285" i="8"/>
  <c r="K284" i="8"/>
  <c r="F284" i="8"/>
  <c r="E284" i="8"/>
  <c r="K283" i="8"/>
  <c r="F283" i="8"/>
  <c r="E283" i="8"/>
  <c r="K282" i="8"/>
  <c r="F282" i="8"/>
  <c r="E282" i="8"/>
  <c r="K281" i="8"/>
  <c r="F281" i="8"/>
  <c r="E281" i="8"/>
  <c r="K280" i="8"/>
  <c r="F280" i="8"/>
  <c r="E280" i="8"/>
  <c r="K279" i="8"/>
  <c r="F279" i="8"/>
  <c r="E279" i="8"/>
  <c r="K278" i="8"/>
  <c r="F278" i="8"/>
  <c r="E278" i="8"/>
  <c r="K277" i="8"/>
  <c r="F277" i="8"/>
  <c r="E277" i="8"/>
  <c r="K276" i="8"/>
  <c r="F276" i="8"/>
  <c r="E276" i="8"/>
  <c r="K275" i="8"/>
  <c r="F275" i="8"/>
  <c r="E275" i="8"/>
  <c r="K274" i="8"/>
  <c r="F274" i="8"/>
  <c r="E274" i="8"/>
  <c r="K273" i="8"/>
  <c r="F273" i="8"/>
  <c r="E273" i="8"/>
  <c r="K272" i="8"/>
  <c r="F272" i="8"/>
  <c r="E272" i="8"/>
  <c r="K271" i="8"/>
  <c r="F271" i="8"/>
  <c r="E271" i="8"/>
  <c r="K270" i="8"/>
  <c r="F270" i="8"/>
  <c r="E270" i="8"/>
  <c r="K269" i="8"/>
  <c r="F269" i="8"/>
  <c r="E269" i="8"/>
  <c r="K268" i="8"/>
  <c r="F268" i="8"/>
  <c r="E268" i="8"/>
  <c r="K267" i="8"/>
  <c r="F267" i="8"/>
  <c r="E267" i="8"/>
  <c r="K266" i="8"/>
  <c r="F266" i="8"/>
  <c r="E266" i="8"/>
  <c r="K265" i="8"/>
  <c r="F265" i="8"/>
  <c r="E265" i="8"/>
  <c r="K264" i="8"/>
  <c r="F264" i="8"/>
  <c r="E264" i="8"/>
  <c r="C265" i="8" s="1"/>
  <c r="C264" i="8"/>
  <c r="K263" i="8"/>
  <c r="F263" i="8"/>
  <c r="E263" i="8"/>
  <c r="K262" i="8"/>
  <c r="F262" i="8"/>
  <c r="E262" i="8"/>
  <c r="K261" i="8"/>
  <c r="F261" i="8"/>
  <c r="E261" i="8"/>
  <c r="K260" i="8"/>
  <c r="F260" i="8"/>
  <c r="E260" i="8"/>
  <c r="K259" i="8"/>
  <c r="F259" i="8"/>
  <c r="E259" i="8"/>
  <c r="K258" i="8"/>
  <c r="F258" i="8"/>
  <c r="E258" i="8"/>
  <c r="K257" i="8"/>
  <c r="F257" i="8"/>
  <c r="E257" i="8"/>
  <c r="K256" i="8"/>
  <c r="F256" i="8"/>
  <c r="E256" i="8"/>
  <c r="K255" i="8"/>
  <c r="F255" i="8"/>
  <c r="E255" i="8"/>
  <c r="K254" i="8"/>
  <c r="F254" i="8"/>
  <c r="E254" i="8"/>
  <c r="K253" i="8"/>
  <c r="F253" i="8"/>
  <c r="E253" i="8"/>
  <c r="K252" i="8"/>
  <c r="F252" i="8"/>
  <c r="E252" i="8"/>
  <c r="K251" i="8"/>
  <c r="F251" i="8"/>
  <c r="E251" i="8"/>
  <c r="K250" i="8"/>
  <c r="F250" i="8"/>
  <c r="E250" i="8"/>
  <c r="K249" i="8"/>
  <c r="F249" i="8"/>
  <c r="E249" i="8"/>
  <c r="K248" i="8"/>
  <c r="F248" i="8"/>
  <c r="E248" i="8"/>
  <c r="K247" i="8"/>
  <c r="F247" i="8"/>
  <c r="E247" i="8"/>
  <c r="K246" i="8"/>
  <c r="F246" i="8"/>
  <c r="E246" i="8"/>
  <c r="K245" i="8"/>
  <c r="F245" i="8"/>
  <c r="E245" i="8"/>
  <c r="K244" i="8"/>
  <c r="F244" i="8"/>
  <c r="E244" i="8"/>
  <c r="K243" i="8"/>
  <c r="F243" i="8"/>
  <c r="E243" i="8"/>
  <c r="K242" i="8"/>
  <c r="F242" i="8"/>
  <c r="E242" i="8"/>
  <c r="K241" i="8"/>
  <c r="F241" i="8"/>
  <c r="E241" i="8"/>
  <c r="K240" i="8"/>
  <c r="F240" i="8"/>
  <c r="E240" i="8"/>
  <c r="K239" i="8"/>
  <c r="F239" i="8"/>
  <c r="E239" i="8"/>
  <c r="K238" i="8"/>
  <c r="F238" i="8"/>
  <c r="E238" i="8"/>
  <c r="K237" i="8"/>
  <c r="F237" i="8"/>
  <c r="E237" i="8"/>
  <c r="K236" i="8"/>
  <c r="F236" i="8"/>
  <c r="E236" i="8"/>
  <c r="K235" i="8"/>
  <c r="F235" i="8"/>
  <c r="E235" i="8"/>
  <c r="K234" i="8"/>
  <c r="F234" i="8"/>
  <c r="E234" i="8"/>
  <c r="K233" i="8"/>
  <c r="F233" i="8"/>
  <c r="E233" i="8"/>
  <c r="K232" i="8"/>
  <c r="F232" i="8"/>
  <c r="E232" i="8"/>
  <c r="K231" i="8"/>
  <c r="F231" i="8"/>
  <c r="E231" i="8"/>
  <c r="K230" i="8"/>
  <c r="F230" i="8"/>
  <c r="E230" i="8"/>
  <c r="K229" i="8"/>
  <c r="F229" i="8"/>
  <c r="E229" i="8"/>
  <c r="K228" i="8"/>
  <c r="F228" i="8"/>
  <c r="E228" i="8"/>
  <c r="K227" i="8"/>
  <c r="F227" i="8"/>
  <c r="E227" i="8"/>
  <c r="K226" i="8"/>
  <c r="F226" i="8"/>
  <c r="E226" i="8"/>
  <c r="K225" i="8"/>
  <c r="F225" i="8"/>
  <c r="E225" i="8"/>
  <c r="K224" i="8"/>
  <c r="F224" i="8"/>
  <c r="E224" i="8"/>
  <c r="K223" i="8"/>
  <c r="F223" i="8"/>
  <c r="E223" i="8"/>
  <c r="K222" i="8"/>
  <c r="F222" i="8"/>
  <c r="E222" i="8"/>
  <c r="K221" i="8"/>
  <c r="F221" i="8"/>
  <c r="E221" i="8"/>
  <c r="K220" i="8"/>
  <c r="F220" i="8"/>
  <c r="E220" i="8"/>
  <c r="K219" i="8"/>
  <c r="F219" i="8"/>
  <c r="E219" i="8"/>
  <c r="K218" i="8"/>
  <c r="F218" i="8"/>
  <c r="E218" i="8"/>
  <c r="K217" i="8"/>
  <c r="F217" i="8"/>
  <c r="E217" i="8"/>
  <c r="K216" i="8"/>
  <c r="F216" i="8"/>
  <c r="E216" i="8"/>
  <c r="K215" i="8"/>
  <c r="F215" i="8"/>
  <c r="E215" i="8"/>
  <c r="K214" i="8"/>
  <c r="F214" i="8"/>
  <c r="E214" i="8"/>
  <c r="K213" i="8"/>
  <c r="F213" i="8"/>
  <c r="E213" i="8"/>
  <c r="K212" i="8"/>
  <c r="F212" i="8"/>
  <c r="E212" i="8"/>
  <c r="K211" i="8"/>
  <c r="F211" i="8"/>
  <c r="E211" i="8"/>
  <c r="K210" i="8"/>
  <c r="F210" i="8"/>
  <c r="E210" i="8"/>
  <c r="K209" i="8"/>
  <c r="F209" i="8"/>
  <c r="E209" i="8"/>
  <c r="K208" i="8"/>
  <c r="F208" i="8"/>
  <c r="E208" i="8"/>
  <c r="K207" i="8"/>
  <c r="F207" i="8"/>
  <c r="E207" i="8"/>
  <c r="K206" i="8"/>
  <c r="F206" i="8"/>
  <c r="E206" i="8"/>
  <c r="K205" i="8"/>
  <c r="F205" i="8"/>
  <c r="E205" i="8"/>
  <c r="K204" i="8"/>
  <c r="F204" i="8"/>
  <c r="E204" i="8"/>
  <c r="K203" i="8"/>
  <c r="F203" i="8"/>
  <c r="E203" i="8"/>
  <c r="K202" i="8"/>
  <c r="F202" i="8"/>
  <c r="E202" i="8"/>
  <c r="K201" i="8"/>
  <c r="F201" i="8"/>
  <c r="E201" i="8"/>
  <c r="K200" i="8"/>
  <c r="F200" i="8"/>
  <c r="E200" i="8"/>
  <c r="K199" i="8"/>
  <c r="F199" i="8"/>
  <c r="E199" i="8"/>
  <c r="K198" i="8"/>
  <c r="F198" i="8"/>
  <c r="E198" i="8"/>
  <c r="K197" i="8"/>
  <c r="F197" i="8"/>
  <c r="E197" i="8"/>
  <c r="K196" i="8"/>
  <c r="F196" i="8"/>
  <c r="E196" i="8"/>
  <c r="K195" i="8"/>
  <c r="F195" i="8"/>
  <c r="E195" i="8"/>
  <c r="K194" i="8"/>
  <c r="F194" i="8"/>
  <c r="E194" i="8"/>
  <c r="K193" i="8"/>
  <c r="F193" i="8"/>
  <c r="E193" i="8"/>
  <c r="K192" i="8"/>
  <c r="F192" i="8"/>
  <c r="E192" i="8"/>
  <c r="K191" i="8"/>
  <c r="F191" i="8"/>
  <c r="E191" i="8"/>
  <c r="K190" i="8"/>
  <c r="F190" i="8"/>
  <c r="E190" i="8"/>
  <c r="K189" i="8"/>
  <c r="F189" i="8"/>
  <c r="E189" i="8"/>
  <c r="K188" i="8"/>
  <c r="F188" i="8"/>
  <c r="E188" i="8"/>
  <c r="K187" i="8"/>
  <c r="F187" i="8"/>
  <c r="E187" i="8"/>
  <c r="K186" i="8"/>
  <c r="F186" i="8"/>
  <c r="E186" i="8"/>
  <c r="K185" i="8"/>
  <c r="F185" i="8"/>
  <c r="E185" i="8"/>
  <c r="K184" i="8"/>
  <c r="F184" i="8"/>
  <c r="E184" i="8"/>
  <c r="K183" i="8"/>
  <c r="F183" i="8"/>
  <c r="E183" i="8"/>
  <c r="K182" i="8"/>
  <c r="F182" i="8"/>
  <c r="E182" i="8"/>
  <c r="K181" i="8"/>
  <c r="F181" i="8"/>
  <c r="E181" i="8"/>
  <c r="K180" i="8"/>
  <c r="F180" i="8"/>
  <c r="E180" i="8"/>
  <c r="K179" i="8"/>
  <c r="F179" i="8"/>
  <c r="E179" i="8"/>
  <c r="K178" i="8"/>
  <c r="F178" i="8"/>
  <c r="E178" i="8"/>
  <c r="K177" i="8"/>
  <c r="F177" i="8"/>
  <c r="E177" i="8"/>
  <c r="K176" i="8"/>
  <c r="F176" i="8"/>
  <c r="E176" i="8"/>
  <c r="K175" i="8"/>
  <c r="F175" i="8"/>
  <c r="E175" i="8"/>
  <c r="K174" i="8"/>
  <c r="F174" i="8"/>
  <c r="E174" i="8"/>
  <c r="K173" i="8"/>
  <c r="F173" i="8"/>
  <c r="E173" i="8"/>
  <c r="K172" i="8"/>
  <c r="F172" i="8"/>
  <c r="E172" i="8"/>
  <c r="K171" i="8"/>
  <c r="F171" i="8"/>
  <c r="E171" i="8"/>
  <c r="K170" i="8"/>
  <c r="F170" i="8"/>
  <c r="E170" i="8"/>
  <c r="K169" i="8"/>
  <c r="F169" i="8"/>
  <c r="E169" i="8"/>
  <c r="K168" i="8"/>
  <c r="F168" i="8"/>
  <c r="E168" i="8"/>
  <c r="K167" i="8"/>
  <c r="F167" i="8"/>
  <c r="E167" i="8"/>
  <c r="K166" i="8"/>
  <c r="F166" i="8"/>
  <c r="E166" i="8"/>
  <c r="K165" i="8"/>
  <c r="F165" i="8"/>
  <c r="E165" i="8"/>
  <c r="K164" i="8"/>
  <c r="F164" i="8"/>
  <c r="E164" i="8"/>
  <c r="K163" i="8"/>
  <c r="F163" i="8"/>
  <c r="E163" i="8"/>
  <c r="K162" i="8"/>
  <c r="F162" i="8"/>
  <c r="E162" i="8"/>
  <c r="K161" i="8"/>
  <c r="F161" i="8"/>
  <c r="E161" i="8"/>
  <c r="K160" i="8"/>
  <c r="F160" i="8"/>
  <c r="E160" i="8"/>
  <c r="K159" i="8"/>
  <c r="F159" i="8"/>
  <c r="E159" i="8"/>
  <c r="K158" i="8"/>
  <c r="F158" i="8"/>
  <c r="E158" i="8"/>
  <c r="K157" i="8"/>
  <c r="F157" i="8"/>
  <c r="E157" i="8"/>
  <c r="K156" i="8"/>
  <c r="F156" i="8"/>
  <c r="E156" i="8"/>
  <c r="K155" i="8"/>
  <c r="F155" i="8"/>
  <c r="E155" i="8"/>
  <c r="K154" i="8"/>
  <c r="F154" i="8"/>
  <c r="E154" i="8"/>
  <c r="K153" i="8"/>
  <c r="F153" i="8"/>
  <c r="E153" i="8"/>
  <c r="K152" i="8"/>
  <c r="F152" i="8"/>
  <c r="E152" i="8"/>
  <c r="K151" i="8"/>
  <c r="F151" i="8"/>
  <c r="E151" i="8"/>
  <c r="K150" i="8"/>
  <c r="F150" i="8"/>
  <c r="E150" i="8"/>
  <c r="K149" i="8"/>
  <c r="F149" i="8"/>
  <c r="E149" i="8"/>
  <c r="K148" i="8"/>
  <c r="F148" i="8"/>
  <c r="E148" i="8"/>
  <c r="K147" i="8"/>
  <c r="F147" i="8"/>
  <c r="E147" i="8"/>
  <c r="K146" i="8"/>
  <c r="F146" i="8"/>
  <c r="E146" i="8"/>
  <c r="K145" i="8"/>
  <c r="F145" i="8"/>
  <c r="E145" i="8"/>
  <c r="K144" i="8"/>
  <c r="F144" i="8"/>
  <c r="E144" i="8"/>
  <c r="K143" i="8"/>
  <c r="F143" i="8"/>
  <c r="E143" i="8"/>
  <c r="K142" i="8"/>
  <c r="F142" i="8"/>
  <c r="E142" i="8"/>
  <c r="K141" i="8"/>
  <c r="F141" i="8"/>
  <c r="E141" i="8"/>
  <c r="K140" i="8"/>
  <c r="F140" i="8"/>
  <c r="E140" i="8"/>
  <c r="K139" i="8"/>
  <c r="F139" i="8"/>
  <c r="E139" i="8"/>
  <c r="K138" i="8"/>
  <c r="F138" i="8"/>
  <c r="E138" i="8"/>
  <c r="K137" i="8"/>
  <c r="F137" i="8"/>
  <c r="E137" i="8"/>
  <c r="K136" i="8"/>
  <c r="F136" i="8"/>
  <c r="E136" i="8"/>
  <c r="K135" i="8"/>
  <c r="F135" i="8"/>
  <c r="E135" i="8"/>
  <c r="K134" i="8"/>
  <c r="F134" i="8"/>
  <c r="E134" i="8"/>
  <c r="K133" i="8"/>
  <c r="F133" i="8"/>
  <c r="E133" i="8"/>
  <c r="K132" i="8"/>
  <c r="F132" i="8"/>
  <c r="E132" i="8"/>
  <c r="K131" i="8"/>
  <c r="F131" i="8"/>
  <c r="E131" i="8"/>
  <c r="K130" i="8"/>
  <c r="F130" i="8"/>
  <c r="E130" i="8"/>
  <c r="K129" i="8"/>
  <c r="F129" i="8"/>
  <c r="E129" i="8"/>
  <c r="K128" i="8"/>
  <c r="F128" i="8"/>
  <c r="E128" i="8"/>
  <c r="K127" i="8"/>
  <c r="F127" i="8"/>
  <c r="E127" i="8"/>
  <c r="K126" i="8"/>
  <c r="F126" i="8"/>
  <c r="E126" i="8"/>
  <c r="K125" i="8"/>
  <c r="F125" i="8"/>
  <c r="E125" i="8"/>
  <c r="K124" i="8"/>
  <c r="F124" i="8"/>
  <c r="E124" i="8"/>
  <c r="K123" i="8"/>
  <c r="F123" i="8"/>
  <c r="E123" i="8"/>
  <c r="K122" i="8"/>
  <c r="F122" i="8"/>
  <c r="E122" i="8"/>
  <c r="K121" i="8"/>
  <c r="F121" i="8"/>
  <c r="E121" i="8"/>
  <c r="K120" i="8"/>
  <c r="F120" i="8"/>
  <c r="E120" i="8"/>
  <c r="K119" i="8"/>
  <c r="F119" i="8"/>
  <c r="E119" i="8"/>
  <c r="K118" i="8"/>
  <c r="F118" i="8"/>
  <c r="E118" i="8"/>
  <c r="K117" i="8"/>
  <c r="F117" i="8"/>
  <c r="E117" i="8"/>
  <c r="C117" i="8"/>
  <c r="K116" i="8"/>
  <c r="F116" i="8"/>
  <c r="E116" i="8"/>
  <c r="K115" i="8"/>
  <c r="F115" i="8"/>
  <c r="E115" i="8"/>
  <c r="K114" i="8"/>
  <c r="F114" i="8"/>
  <c r="E114" i="8"/>
  <c r="K113" i="8"/>
  <c r="F113" i="8"/>
  <c r="E113" i="8"/>
  <c r="K112" i="8"/>
  <c r="F112" i="8"/>
  <c r="E112" i="8"/>
  <c r="K111" i="8"/>
  <c r="F111" i="8"/>
  <c r="E111" i="8"/>
  <c r="K110" i="8"/>
  <c r="F110" i="8"/>
  <c r="E110" i="8"/>
  <c r="K109" i="8"/>
  <c r="F109" i="8"/>
  <c r="E109" i="8"/>
  <c r="K108" i="8"/>
  <c r="F108" i="8"/>
  <c r="E108" i="8"/>
  <c r="K107" i="8"/>
  <c r="F107" i="8"/>
  <c r="E107" i="8"/>
  <c r="K106" i="8"/>
  <c r="F106" i="8"/>
  <c r="E106" i="8"/>
  <c r="K105" i="8"/>
  <c r="F105" i="8"/>
  <c r="E105" i="8"/>
  <c r="K104" i="8"/>
  <c r="F104" i="8"/>
  <c r="E104" i="8"/>
  <c r="K103" i="8"/>
  <c r="F103" i="8"/>
  <c r="E103" i="8"/>
  <c r="K102" i="8"/>
  <c r="F102" i="8"/>
  <c r="E102" i="8"/>
  <c r="K101" i="8"/>
  <c r="F101" i="8"/>
  <c r="E101" i="8"/>
  <c r="K100" i="8"/>
  <c r="F100" i="8"/>
  <c r="E100" i="8"/>
  <c r="K99" i="8"/>
  <c r="F99" i="8"/>
  <c r="E99" i="8"/>
  <c r="K98" i="8"/>
  <c r="F98" i="8"/>
  <c r="E98" i="8"/>
  <c r="K97" i="8"/>
  <c r="F97" i="8"/>
  <c r="E97" i="8"/>
  <c r="K96" i="8"/>
  <c r="F96" i="8"/>
  <c r="E96" i="8"/>
  <c r="K95" i="8"/>
  <c r="F95" i="8"/>
  <c r="E95" i="8"/>
  <c r="K94" i="8"/>
  <c r="F94" i="8"/>
  <c r="E94" i="8"/>
  <c r="K93" i="8"/>
  <c r="F93" i="8"/>
  <c r="E93" i="8"/>
  <c r="K92" i="8"/>
  <c r="F92" i="8"/>
  <c r="E92" i="8"/>
  <c r="K91" i="8"/>
  <c r="F91" i="8"/>
  <c r="E91" i="8"/>
  <c r="K90" i="8"/>
  <c r="F90" i="8"/>
  <c r="E90" i="8"/>
  <c r="K89" i="8"/>
  <c r="F89" i="8"/>
  <c r="E89" i="8"/>
  <c r="K88" i="8"/>
  <c r="F88" i="8"/>
  <c r="E88" i="8"/>
  <c r="K87" i="8"/>
  <c r="F87" i="8"/>
  <c r="E87" i="8"/>
  <c r="K86" i="8"/>
  <c r="F86" i="8"/>
  <c r="E86" i="8"/>
  <c r="K85" i="8"/>
  <c r="F85" i="8"/>
  <c r="E85" i="8"/>
  <c r="K84" i="8"/>
  <c r="F84" i="8"/>
  <c r="E84" i="8"/>
  <c r="K83" i="8"/>
  <c r="F83" i="8"/>
  <c r="E83" i="8"/>
  <c r="K82" i="8"/>
  <c r="F82" i="8"/>
  <c r="E82" i="8"/>
  <c r="K81" i="8"/>
  <c r="F81" i="8"/>
  <c r="E81" i="8"/>
  <c r="K80" i="8"/>
  <c r="F80" i="8"/>
  <c r="E80" i="8"/>
  <c r="K79" i="8"/>
  <c r="F79" i="8"/>
  <c r="E79" i="8"/>
  <c r="K78" i="8"/>
  <c r="F78" i="8"/>
  <c r="E78" i="8"/>
  <c r="K77" i="8"/>
  <c r="F77" i="8"/>
  <c r="E77" i="8"/>
  <c r="K76" i="8"/>
  <c r="F76" i="8"/>
  <c r="E76" i="8"/>
  <c r="K75" i="8"/>
  <c r="F75" i="8"/>
  <c r="E75" i="8"/>
  <c r="K74" i="8"/>
  <c r="F74" i="8"/>
  <c r="E74" i="8"/>
  <c r="K73" i="8"/>
  <c r="F73" i="8"/>
  <c r="E73" i="8"/>
  <c r="K72" i="8"/>
  <c r="F72" i="8"/>
  <c r="E72" i="8"/>
  <c r="K71" i="8"/>
  <c r="F71" i="8"/>
  <c r="E71" i="8"/>
  <c r="K70" i="8"/>
  <c r="F70" i="8"/>
  <c r="E70" i="8"/>
  <c r="K69" i="8"/>
  <c r="F69" i="8"/>
  <c r="E69" i="8"/>
  <c r="K68" i="8"/>
  <c r="F68" i="8"/>
  <c r="E68" i="8"/>
  <c r="K67" i="8"/>
  <c r="F67" i="8"/>
  <c r="E67" i="8"/>
  <c r="K66" i="8"/>
  <c r="F66" i="8"/>
  <c r="E66" i="8"/>
  <c r="K65" i="8"/>
  <c r="F65" i="8"/>
  <c r="E65" i="8"/>
  <c r="K64" i="8"/>
  <c r="F64" i="8"/>
  <c r="E64" i="8"/>
  <c r="K63" i="8"/>
  <c r="F63" i="8"/>
  <c r="E63" i="8"/>
  <c r="K62" i="8"/>
  <c r="F62" i="8"/>
  <c r="E62" i="8"/>
  <c r="K61" i="8"/>
  <c r="F61" i="8"/>
  <c r="E61" i="8"/>
  <c r="K60" i="8"/>
  <c r="F60" i="8"/>
  <c r="E60" i="8"/>
  <c r="K59" i="8"/>
  <c r="F59" i="8"/>
  <c r="E59" i="8"/>
  <c r="K58" i="8"/>
  <c r="F58" i="8"/>
  <c r="E58" i="8"/>
  <c r="K57" i="8"/>
  <c r="F57" i="8"/>
  <c r="E57" i="8"/>
  <c r="K56" i="8"/>
  <c r="F56" i="8"/>
  <c r="E56" i="8"/>
  <c r="K55" i="8"/>
  <c r="F55" i="8"/>
  <c r="E55" i="8"/>
  <c r="K54" i="8"/>
  <c r="F54" i="8"/>
  <c r="E54" i="8"/>
  <c r="K53" i="8"/>
  <c r="F53" i="8"/>
  <c r="E53" i="8"/>
  <c r="K52" i="8"/>
  <c r="F52" i="8"/>
  <c r="E52" i="8"/>
  <c r="K51" i="8"/>
  <c r="F51" i="8"/>
  <c r="E51" i="8"/>
  <c r="K50" i="8"/>
  <c r="F50" i="8"/>
  <c r="E50" i="8"/>
  <c r="K49" i="8"/>
  <c r="F49" i="8"/>
  <c r="E49" i="8"/>
  <c r="K48" i="8"/>
  <c r="F48" i="8"/>
  <c r="E48" i="8"/>
  <c r="K47" i="8"/>
  <c r="F47" i="8"/>
  <c r="E47" i="8"/>
  <c r="K46" i="8"/>
  <c r="F46" i="8"/>
  <c r="E46" i="8"/>
  <c r="K45" i="8"/>
  <c r="F45" i="8"/>
  <c r="E45" i="8"/>
  <c r="K44" i="8"/>
  <c r="F44" i="8"/>
  <c r="E44" i="8"/>
  <c r="K43" i="8"/>
  <c r="F43" i="8"/>
  <c r="E43" i="8"/>
  <c r="K42" i="8"/>
  <c r="F42" i="8"/>
  <c r="E42" i="8"/>
  <c r="K41" i="8"/>
  <c r="F41" i="8"/>
  <c r="E41" i="8"/>
  <c r="K40" i="8"/>
  <c r="F40" i="8"/>
  <c r="E40" i="8"/>
  <c r="K39" i="8"/>
  <c r="F39" i="8"/>
  <c r="E39" i="8"/>
  <c r="K38" i="8"/>
  <c r="F38" i="8"/>
  <c r="E38" i="8"/>
  <c r="K37" i="8"/>
  <c r="F37" i="8"/>
  <c r="E37" i="8"/>
  <c r="K36" i="8"/>
  <c r="F36" i="8"/>
  <c r="E36" i="8"/>
  <c r="K35" i="8"/>
  <c r="F35" i="8"/>
  <c r="E35" i="8"/>
  <c r="K34" i="8"/>
  <c r="F34" i="8"/>
  <c r="E34" i="8"/>
  <c r="K33" i="8"/>
  <c r="F33" i="8"/>
  <c r="E33" i="8"/>
  <c r="K32" i="8"/>
  <c r="F32" i="8"/>
  <c r="E32" i="8"/>
  <c r="K31" i="8"/>
  <c r="F31" i="8"/>
  <c r="E31" i="8"/>
  <c r="K30" i="8"/>
  <c r="F30" i="8"/>
  <c r="E30" i="8"/>
  <c r="K29" i="8"/>
  <c r="F29" i="8"/>
  <c r="E29" i="8"/>
  <c r="K28" i="8"/>
  <c r="F28" i="8"/>
  <c r="E28" i="8"/>
  <c r="K27" i="8"/>
  <c r="F27" i="8"/>
  <c r="E27" i="8"/>
  <c r="K26" i="8"/>
  <c r="F26" i="8"/>
  <c r="E26" i="8"/>
  <c r="K25" i="8"/>
  <c r="F25" i="8"/>
  <c r="E25" i="8"/>
  <c r="K24" i="8"/>
  <c r="F24" i="8"/>
  <c r="E24" i="8"/>
  <c r="K23" i="8"/>
  <c r="F23" i="8"/>
  <c r="E23" i="8"/>
  <c r="K22" i="8"/>
  <c r="F22" i="8"/>
  <c r="E22" i="8"/>
  <c r="K21" i="8"/>
  <c r="F21" i="8"/>
  <c r="E21" i="8"/>
  <c r="K20" i="8"/>
  <c r="F20" i="8"/>
  <c r="E20" i="8"/>
  <c r="K19" i="8"/>
  <c r="F19" i="8"/>
  <c r="E19" i="8"/>
  <c r="K18" i="8"/>
  <c r="F18" i="8"/>
  <c r="E18" i="8"/>
  <c r="K17" i="8"/>
  <c r="F17" i="8"/>
  <c r="E17" i="8"/>
  <c r="K16" i="8"/>
  <c r="F16" i="8"/>
  <c r="E16" i="8"/>
  <c r="K15" i="8"/>
  <c r="F15" i="8"/>
  <c r="E15" i="8"/>
  <c r="K14" i="8"/>
  <c r="F14" i="8"/>
  <c r="E14" i="8"/>
  <c r="K13" i="8"/>
  <c r="F13" i="8"/>
  <c r="E13" i="8"/>
  <c r="K12" i="8"/>
  <c r="F12" i="8"/>
  <c r="E12" i="8"/>
  <c r="K11" i="8"/>
  <c r="F11" i="8"/>
  <c r="E11" i="8"/>
  <c r="K10" i="8"/>
  <c r="F10" i="8"/>
  <c r="E10" i="8"/>
  <c r="K9" i="8"/>
  <c r="F9" i="8"/>
  <c r="E9" i="8"/>
  <c r="K8" i="8"/>
  <c r="F8" i="8"/>
  <c r="E8" i="8"/>
  <c r="K7" i="8"/>
  <c r="F7" i="8"/>
  <c r="E7" i="8"/>
  <c r="C7" i="8"/>
  <c r="K6" i="8"/>
  <c r="F6" i="8"/>
  <c r="E6" i="8"/>
  <c r="K5" i="8"/>
  <c r="F5" i="8"/>
  <c r="E5" i="8"/>
  <c r="K4" i="8"/>
  <c r="F4" i="8"/>
  <c r="E4" i="8"/>
  <c r="K3" i="8"/>
  <c r="F3" i="8"/>
  <c r="E3" i="8"/>
  <c r="C3" i="8"/>
  <c r="K2" i="8"/>
  <c r="F2" i="8"/>
  <c r="E2" i="8"/>
  <c r="D2" i="8"/>
  <c r="C2" i="8"/>
  <c r="D3" i="9" l="1"/>
  <c r="D277" i="9"/>
  <c r="C293" i="9"/>
  <c r="D293" i="9" s="1"/>
  <c r="C4" i="9"/>
  <c r="D4" i="9" s="1"/>
  <c r="D8" i="8"/>
  <c r="D7" i="8"/>
  <c r="C8" i="8"/>
  <c r="D3" i="8"/>
  <c r="C5" i="8"/>
  <c r="C6" i="8" s="1"/>
  <c r="C4" i="8"/>
  <c r="D4" i="8" s="1"/>
  <c r="C10" i="8"/>
  <c r="C9" i="8"/>
  <c r="D9" i="8" s="1"/>
  <c r="C203" i="8"/>
  <c r="D265" i="8"/>
  <c r="D264" i="8"/>
  <c r="C266" i="8"/>
  <c r="D266" i="8" s="1"/>
  <c r="C338" i="8"/>
  <c r="C339" i="8" s="1"/>
  <c r="C371" i="8"/>
  <c r="C370" i="8"/>
  <c r="D370" i="8" s="1"/>
  <c r="C418" i="8"/>
  <c r="C118" i="8"/>
  <c r="C64" i="8"/>
  <c r="D64" i="8" s="1"/>
  <c r="D117" i="8"/>
  <c r="C409" i="8"/>
  <c r="C410" i="8" s="1"/>
  <c r="C202" i="8"/>
  <c r="D202" i="8" s="1"/>
  <c r="D394" i="8"/>
  <c r="C417" i="8"/>
  <c r="C359" i="8"/>
  <c r="C394" i="8"/>
  <c r="C405" i="8"/>
  <c r="D405" i="8" s="1"/>
  <c r="C404" i="8"/>
  <c r="D404" i="8" s="1"/>
  <c r="D412" i="8"/>
  <c r="D411" i="8"/>
  <c r="C415" i="8"/>
  <c r="C414" i="8"/>
  <c r="D414" i="8" s="1"/>
  <c r="D415" i="8" s="1"/>
  <c r="D416" i="8" s="1"/>
  <c r="D417" i="8" s="1"/>
  <c r="D418" i="8" s="1"/>
  <c r="C412" i="8"/>
  <c r="C5" i="9" l="1"/>
  <c r="C340" i="8"/>
  <c r="D339" i="8"/>
  <c r="C204" i="8"/>
  <c r="D203" i="8"/>
  <c r="C11" i="8"/>
  <c r="D10" i="8"/>
  <c r="D338" i="8"/>
  <c r="D118" i="8"/>
  <c r="C119" i="8"/>
  <c r="C267" i="8"/>
  <c r="D5" i="8"/>
  <c r="D6" i="8" s="1"/>
  <c r="C360" i="8"/>
  <c r="D359" i="8"/>
  <c r="C372" i="8"/>
  <c r="D371" i="8"/>
  <c r="C65" i="8"/>
  <c r="D5" i="9" l="1"/>
  <c r="C6" i="9"/>
  <c r="D372" i="8"/>
  <c r="C373" i="8"/>
  <c r="C268" i="8"/>
  <c r="D267" i="8"/>
  <c r="D119" i="8"/>
  <c r="C120" i="8"/>
  <c r="C12" i="8"/>
  <c r="D11" i="8"/>
  <c r="D340" i="8"/>
  <c r="C341" i="8"/>
  <c r="D65" i="8"/>
  <c r="C66" i="8"/>
  <c r="D360" i="8"/>
  <c r="C361" i="8"/>
  <c r="C205" i="8"/>
  <c r="D204" i="8"/>
  <c r="D6" i="9" l="1"/>
  <c r="C7" i="9"/>
  <c r="C257" i="9"/>
  <c r="C258" i="9" s="1"/>
  <c r="D258" i="9" s="1"/>
  <c r="C60" i="9"/>
  <c r="C207" i="9"/>
  <c r="C362" i="8"/>
  <c r="D361" i="8"/>
  <c r="D341" i="8"/>
  <c r="C342" i="8"/>
  <c r="D120" i="8"/>
  <c r="C121" i="8"/>
  <c r="C374" i="8"/>
  <c r="D373" i="8"/>
  <c r="D66" i="8"/>
  <c r="C67" i="8"/>
  <c r="C206" i="8"/>
  <c r="D205" i="8"/>
  <c r="C13" i="8"/>
  <c r="C14" i="8" s="1"/>
  <c r="D12" i="8"/>
  <c r="D13" i="8" s="1"/>
  <c r="D268" i="8"/>
  <c r="C269" i="8"/>
  <c r="D7" i="9" l="1"/>
  <c r="C8" i="9"/>
  <c r="D8" i="9" s="1"/>
  <c r="D207" i="9"/>
  <c r="D60" i="9"/>
  <c r="D257" i="9"/>
  <c r="D67" i="8"/>
  <c r="C68" i="8"/>
  <c r="C122" i="8"/>
  <c r="D121" i="8"/>
  <c r="C15" i="8"/>
  <c r="D14" i="8"/>
  <c r="D362" i="8"/>
  <c r="C363" i="8"/>
  <c r="D269" i="8"/>
  <c r="C270" i="8"/>
  <c r="D342" i="8"/>
  <c r="C343" i="8"/>
  <c r="C207" i="8"/>
  <c r="D206" i="8"/>
  <c r="D374" i="8"/>
  <c r="C375" i="8"/>
  <c r="C9" i="9" l="1"/>
  <c r="C10" i="9" s="1"/>
  <c r="D10" i="9" s="1"/>
  <c r="D270" i="8"/>
  <c r="C271" i="8"/>
  <c r="C69" i="8"/>
  <c r="D68" i="8"/>
  <c r="C208" i="8"/>
  <c r="D207" i="8"/>
  <c r="C16" i="8"/>
  <c r="D15" i="8"/>
  <c r="C376" i="8"/>
  <c r="D375" i="8"/>
  <c r="C344" i="8"/>
  <c r="D343" i="8"/>
  <c r="C364" i="8"/>
  <c r="D363" i="8"/>
  <c r="C123" i="8"/>
  <c r="D122" i="8"/>
  <c r="D9" i="9" l="1"/>
  <c r="C11" i="9"/>
  <c r="C12" i="9" s="1"/>
  <c r="C278" i="9"/>
  <c r="C279" i="9" s="1"/>
  <c r="D279" i="9" s="1"/>
  <c r="C272" i="8"/>
  <c r="D271" i="8"/>
  <c r="D364" i="8"/>
  <c r="C365" i="8"/>
  <c r="D376" i="8"/>
  <c r="C377" i="8"/>
  <c r="C209" i="8"/>
  <c r="D208" i="8"/>
  <c r="C124" i="8"/>
  <c r="C125" i="8" s="1"/>
  <c r="D123" i="8"/>
  <c r="D124" i="8" s="1"/>
  <c r="D344" i="8"/>
  <c r="C345" i="8"/>
  <c r="C17" i="8"/>
  <c r="D16" i="8"/>
  <c r="C70" i="8"/>
  <c r="C71" i="8" s="1"/>
  <c r="D69" i="8"/>
  <c r="D70" i="8" s="1"/>
  <c r="C13" i="9" l="1"/>
  <c r="D13" i="9" s="1"/>
  <c r="D12" i="9"/>
  <c r="D11" i="9"/>
  <c r="C208" i="9"/>
  <c r="D278" i="9"/>
  <c r="C61" i="9"/>
  <c r="C62" i="9" s="1"/>
  <c r="D62" i="9" s="1"/>
  <c r="C378" i="8"/>
  <c r="D377" i="8"/>
  <c r="C18" i="8"/>
  <c r="D17" i="8"/>
  <c r="D125" i="8"/>
  <c r="C126" i="8"/>
  <c r="C273" i="8"/>
  <c r="D272" i="8"/>
  <c r="D345" i="8"/>
  <c r="C346" i="8"/>
  <c r="C366" i="8"/>
  <c r="D365" i="8"/>
  <c r="D71" i="8"/>
  <c r="C72" i="8"/>
  <c r="D209" i="8"/>
  <c r="D210" i="8" s="1"/>
  <c r="C210" i="8"/>
  <c r="C211" i="8" s="1"/>
  <c r="D61" i="9" l="1"/>
  <c r="C280" i="9"/>
  <c r="C281" i="9" s="1"/>
  <c r="D281" i="9" s="1"/>
  <c r="D208" i="9"/>
  <c r="D72" i="8"/>
  <c r="C73" i="8"/>
  <c r="D346" i="8"/>
  <c r="C347" i="8"/>
  <c r="D126" i="8"/>
  <c r="C127" i="8"/>
  <c r="D378" i="8"/>
  <c r="C379" i="8"/>
  <c r="C212" i="8"/>
  <c r="D211" i="8"/>
  <c r="D366" i="8"/>
  <c r="D367" i="8" s="1"/>
  <c r="D368" i="8" s="1"/>
  <c r="D369" i="8" s="1"/>
  <c r="C367" i="8"/>
  <c r="C368" i="8" s="1"/>
  <c r="C369" i="8" s="1"/>
  <c r="D273" i="8"/>
  <c r="C274" i="8"/>
  <c r="D18" i="8"/>
  <c r="C19" i="8"/>
  <c r="D280" i="9" l="1"/>
  <c r="C259" i="9"/>
  <c r="C260" i="9" s="1"/>
  <c r="C261" i="9" s="1"/>
  <c r="C262" i="9" s="1"/>
  <c r="C263" i="9" s="1"/>
  <c r="D263" i="9" s="1"/>
  <c r="D274" i="8"/>
  <c r="C275" i="8"/>
  <c r="D127" i="8"/>
  <c r="C128" i="8"/>
  <c r="C74" i="8"/>
  <c r="D73" i="8"/>
  <c r="C213" i="8"/>
  <c r="D212" i="8"/>
  <c r="C20" i="8"/>
  <c r="D19" i="8"/>
  <c r="C380" i="8"/>
  <c r="D379" i="8"/>
  <c r="C348" i="8"/>
  <c r="D347" i="8"/>
  <c r="D259" i="9" l="1"/>
  <c r="D260" i="9" s="1"/>
  <c r="D261" i="9" s="1"/>
  <c r="D262" i="9" s="1"/>
  <c r="C63" i="9"/>
  <c r="C276" i="8"/>
  <c r="C277" i="8" s="1"/>
  <c r="D275" i="8"/>
  <c r="D276" i="8" s="1"/>
  <c r="D348" i="8"/>
  <c r="D349" i="8" s="1"/>
  <c r="D350" i="8" s="1"/>
  <c r="D351" i="8" s="1"/>
  <c r="C349" i="8"/>
  <c r="C350" i="8" s="1"/>
  <c r="C351" i="8" s="1"/>
  <c r="C352" i="8" s="1"/>
  <c r="C21" i="8"/>
  <c r="C22" i="8" s="1"/>
  <c r="D20" i="8"/>
  <c r="D21" i="8" s="1"/>
  <c r="D74" i="8"/>
  <c r="C75" i="8"/>
  <c r="C129" i="8"/>
  <c r="D128" i="8"/>
  <c r="C381" i="8"/>
  <c r="D380" i="8"/>
  <c r="C214" i="8"/>
  <c r="D213" i="8"/>
  <c r="C282" i="9" l="1"/>
  <c r="C283" i="9" s="1"/>
  <c r="C284" i="9" s="1"/>
  <c r="C64" i="9"/>
  <c r="D63" i="9"/>
  <c r="D64" i="9" s="1"/>
  <c r="C215" i="8"/>
  <c r="D214" i="8"/>
  <c r="C130" i="8"/>
  <c r="D129" i="8"/>
  <c r="C23" i="8"/>
  <c r="D22" i="8"/>
  <c r="D277" i="8"/>
  <c r="C278" i="8"/>
  <c r="C76" i="8"/>
  <c r="D75" i="8"/>
  <c r="D352" i="8"/>
  <c r="C353" i="8"/>
  <c r="C382" i="8"/>
  <c r="D381" i="8"/>
  <c r="D284" i="9" l="1"/>
  <c r="D285" i="9" s="1"/>
  <c r="C285" i="9"/>
  <c r="C286" i="9" s="1"/>
  <c r="D283" i="9"/>
  <c r="C65" i="9"/>
  <c r="C158" i="9"/>
  <c r="C159" i="9" s="1"/>
  <c r="D159" i="9" s="1"/>
  <c r="D282" i="9"/>
  <c r="C14" i="9"/>
  <c r="D353" i="8"/>
  <c r="C354" i="8"/>
  <c r="C279" i="8"/>
  <c r="D278" i="8"/>
  <c r="C131" i="8"/>
  <c r="C132" i="8" s="1"/>
  <c r="C133" i="8" s="1"/>
  <c r="C134" i="8" s="1"/>
  <c r="D130" i="8"/>
  <c r="D131" i="8" s="1"/>
  <c r="D132" i="8" s="1"/>
  <c r="D133" i="8" s="1"/>
  <c r="D382" i="8"/>
  <c r="C383" i="8"/>
  <c r="C77" i="8"/>
  <c r="C78" i="8" s="1"/>
  <c r="C79" i="8" s="1"/>
  <c r="C80" i="8" s="1"/>
  <c r="C81" i="8" s="1"/>
  <c r="D76" i="8"/>
  <c r="D77" i="8" s="1"/>
  <c r="D78" i="8" s="1"/>
  <c r="D79" i="8" s="1"/>
  <c r="D80" i="8" s="1"/>
  <c r="D23" i="8"/>
  <c r="C24" i="8"/>
  <c r="C216" i="8"/>
  <c r="D215" i="8"/>
  <c r="C287" i="9" l="1"/>
  <c r="D286" i="9"/>
  <c r="D65" i="9"/>
  <c r="C66" i="9"/>
  <c r="D14" i="9"/>
  <c r="D158" i="9"/>
  <c r="D24" i="8"/>
  <c r="C25" i="8"/>
  <c r="C384" i="8"/>
  <c r="D383" i="8"/>
  <c r="C280" i="8"/>
  <c r="D279" i="8"/>
  <c r="C355" i="8"/>
  <c r="D354" i="8"/>
  <c r="D216" i="8"/>
  <c r="C217" i="8"/>
  <c r="C82" i="8"/>
  <c r="D81" i="8"/>
  <c r="C135" i="8"/>
  <c r="D134" i="8"/>
  <c r="D66" i="9" l="1"/>
  <c r="C67" i="9"/>
  <c r="D287" i="9"/>
  <c r="C288" i="9"/>
  <c r="C385" i="8"/>
  <c r="D384" i="8"/>
  <c r="C83" i="8"/>
  <c r="D82" i="8"/>
  <c r="C218" i="8"/>
  <c r="D217" i="8"/>
  <c r="D25" i="8"/>
  <c r="C26" i="8"/>
  <c r="C356" i="8"/>
  <c r="C357" i="8" s="1"/>
  <c r="D355" i="8"/>
  <c r="D356" i="8" s="1"/>
  <c r="C136" i="8"/>
  <c r="C137" i="8" s="1"/>
  <c r="C138" i="8" s="1"/>
  <c r="C139" i="8" s="1"/>
  <c r="C140" i="8" s="1"/>
  <c r="C141" i="8" s="1"/>
  <c r="D135" i="8"/>
  <c r="D136" i="8" s="1"/>
  <c r="D137" i="8" s="1"/>
  <c r="D138" i="8" s="1"/>
  <c r="D139" i="8" s="1"/>
  <c r="D140" i="8" s="1"/>
  <c r="D280" i="8"/>
  <c r="D281" i="8" s="1"/>
  <c r="C281" i="8"/>
  <c r="C282" i="8" s="1"/>
  <c r="D67" i="9" l="1"/>
  <c r="C68" i="9"/>
  <c r="C289" i="9"/>
  <c r="D289" i="9" s="1"/>
  <c r="D288" i="9"/>
  <c r="C160" i="9"/>
  <c r="C142" i="8"/>
  <c r="D141" i="8"/>
  <c r="D83" i="8"/>
  <c r="C84" i="8"/>
  <c r="D26" i="8"/>
  <c r="C27" i="8"/>
  <c r="C283" i="8"/>
  <c r="D282" i="8"/>
  <c r="D357" i="8"/>
  <c r="C358" i="8"/>
  <c r="D358" i="8" s="1"/>
  <c r="C219" i="8"/>
  <c r="D218" i="8"/>
  <c r="C386" i="8"/>
  <c r="D385" i="8"/>
  <c r="C69" i="9" l="1"/>
  <c r="D68" i="9"/>
  <c r="D160" i="9"/>
  <c r="C220" i="8"/>
  <c r="D219" i="8"/>
  <c r="C284" i="8"/>
  <c r="D283" i="8"/>
  <c r="C85" i="8"/>
  <c r="D84" i="8"/>
  <c r="C28" i="8"/>
  <c r="D27" i="8"/>
  <c r="D386" i="8"/>
  <c r="C387" i="8"/>
  <c r="C143" i="8"/>
  <c r="D142" i="8"/>
  <c r="D69" i="9" l="1"/>
  <c r="C70" i="9"/>
  <c r="C209" i="9"/>
  <c r="C144" i="8"/>
  <c r="D143" i="8"/>
  <c r="C285" i="8"/>
  <c r="D284" i="8"/>
  <c r="C29" i="8"/>
  <c r="D28" i="8"/>
  <c r="C388" i="8"/>
  <c r="D387" i="8"/>
  <c r="D85" i="8"/>
  <c r="C86" i="8"/>
  <c r="D220" i="8"/>
  <c r="C221" i="8"/>
  <c r="C71" i="9" l="1"/>
  <c r="D70" i="9"/>
  <c r="D209" i="9"/>
  <c r="C222" i="8"/>
  <c r="C223" i="8" s="1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D221" i="8"/>
  <c r="D222" i="8" s="1"/>
  <c r="D223" i="8" s="1"/>
  <c r="D224" i="8" s="1"/>
  <c r="D225" i="8" s="1"/>
  <c r="D226" i="8" s="1"/>
  <c r="D227" i="8" s="1"/>
  <c r="D228" i="8" s="1"/>
  <c r="D229" i="8" s="1"/>
  <c r="D230" i="8" s="1"/>
  <c r="D231" i="8" s="1"/>
  <c r="D232" i="8" s="1"/>
  <c r="C389" i="8"/>
  <c r="C390" i="8" s="1"/>
  <c r="D388" i="8"/>
  <c r="D389" i="8" s="1"/>
  <c r="D285" i="8"/>
  <c r="C286" i="8"/>
  <c r="D86" i="8"/>
  <c r="C87" i="8"/>
  <c r="C30" i="8"/>
  <c r="D29" i="8"/>
  <c r="C145" i="8"/>
  <c r="D144" i="8"/>
  <c r="D71" i="9" l="1"/>
  <c r="C72" i="9"/>
  <c r="D87" i="8"/>
  <c r="C88" i="8"/>
  <c r="C146" i="8"/>
  <c r="D145" i="8"/>
  <c r="D390" i="8"/>
  <c r="C391" i="8"/>
  <c r="D286" i="8"/>
  <c r="C287" i="8"/>
  <c r="C31" i="8"/>
  <c r="D30" i="8"/>
  <c r="C234" i="8"/>
  <c r="D233" i="8"/>
  <c r="C73" i="9" l="1"/>
  <c r="D72" i="9"/>
  <c r="C290" i="9"/>
  <c r="C288" i="8"/>
  <c r="D287" i="8"/>
  <c r="D234" i="8"/>
  <c r="C235" i="8"/>
  <c r="C147" i="8"/>
  <c r="D146" i="8"/>
  <c r="C392" i="8"/>
  <c r="D391" i="8"/>
  <c r="C89" i="8"/>
  <c r="D88" i="8"/>
  <c r="C32" i="8"/>
  <c r="D31" i="8"/>
  <c r="D73" i="9" l="1"/>
  <c r="C74" i="9"/>
  <c r="C161" i="9"/>
  <c r="C162" i="9" s="1"/>
  <c r="D162" i="9" s="1"/>
  <c r="D290" i="9"/>
  <c r="D32" i="8"/>
  <c r="C33" i="8"/>
  <c r="C236" i="8"/>
  <c r="D235" i="8"/>
  <c r="C393" i="8"/>
  <c r="D392" i="8"/>
  <c r="C90" i="8"/>
  <c r="D89" i="8"/>
  <c r="C148" i="8"/>
  <c r="D147" i="8"/>
  <c r="D288" i="8"/>
  <c r="C289" i="8"/>
  <c r="D74" i="9" l="1"/>
  <c r="C75" i="9"/>
  <c r="D161" i="9"/>
  <c r="C291" i="9"/>
  <c r="C292" i="9" s="1"/>
  <c r="D292" i="9"/>
  <c r="C91" i="8"/>
  <c r="D90" i="8"/>
  <c r="C237" i="8"/>
  <c r="D236" i="8"/>
  <c r="D289" i="8"/>
  <c r="C290" i="8"/>
  <c r="D33" i="8"/>
  <c r="D34" i="8" s="1"/>
  <c r="C34" i="8"/>
  <c r="C35" i="8" s="1"/>
  <c r="D148" i="8"/>
  <c r="C149" i="8"/>
  <c r="C395" i="8"/>
  <c r="D393" i="8"/>
  <c r="D75" i="9" l="1"/>
  <c r="C76" i="9"/>
  <c r="D76" i="9" s="1"/>
  <c r="C294" i="9"/>
  <c r="D291" i="9"/>
  <c r="C396" i="8"/>
  <c r="D395" i="8"/>
  <c r="C238" i="8"/>
  <c r="D237" i="8"/>
  <c r="D35" i="8"/>
  <c r="C36" i="8"/>
  <c r="C150" i="8"/>
  <c r="D149" i="8"/>
  <c r="C291" i="8"/>
  <c r="C292" i="8" s="1"/>
  <c r="C293" i="8" s="1"/>
  <c r="C294" i="8" s="1"/>
  <c r="C295" i="8" s="1"/>
  <c r="C296" i="8" s="1"/>
  <c r="C297" i="8" s="1"/>
  <c r="C298" i="8" s="1"/>
  <c r="C299" i="8" s="1"/>
  <c r="C300" i="8" s="1"/>
  <c r="D290" i="8"/>
  <c r="D291" i="8" s="1"/>
  <c r="D292" i="8" s="1"/>
  <c r="D293" i="8" s="1"/>
  <c r="D294" i="8" s="1"/>
  <c r="D295" i="8" s="1"/>
  <c r="D296" i="8" s="1"/>
  <c r="D297" i="8" s="1"/>
  <c r="D298" i="8" s="1"/>
  <c r="D299" i="8" s="1"/>
  <c r="C92" i="8"/>
  <c r="D91" i="8"/>
  <c r="C295" i="9" l="1"/>
  <c r="D294" i="9"/>
  <c r="C77" i="9"/>
  <c r="C78" i="9" s="1"/>
  <c r="C79" i="9" s="1"/>
  <c r="D92" i="8"/>
  <c r="C93" i="8"/>
  <c r="C151" i="8"/>
  <c r="D150" i="8"/>
  <c r="C239" i="8"/>
  <c r="D238" i="8"/>
  <c r="C37" i="8"/>
  <c r="D36" i="8"/>
  <c r="D300" i="8"/>
  <c r="C301" i="8"/>
  <c r="C397" i="8"/>
  <c r="D396" i="8"/>
  <c r="D79" i="9" l="1"/>
  <c r="C80" i="9"/>
  <c r="D80" i="9" s="1"/>
  <c r="D78" i="9"/>
  <c r="D295" i="9"/>
  <c r="D77" i="9"/>
  <c r="C398" i="8"/>
  <c r="D397" i="8"/>
  <c r="C38" i="8"/>
  <c r="D37" i="8"/>
  <c r="D151" i="8"/>
  <c r="C152" i="8"/>
  <c r="D301" i="8"/>
  <c r="C302" i="8"/>
  <c r="D93" i="8"/>
  <c r="C94" i="8"/>
  <c r="C240" i="8"/>
  <c r="C241" i="8" s="1"/>
  <c r="C242" i="8" s="1"/>
  <c r="C243" i="8" s="1"/>
  <c r="D239" i="8"/>
  <c r="D240" i="8" s="1"/>
  <c r="D241" i="8" s="1"/>
  <c r="D242" i="8" s="1"/>
  <c r="C244" i="8" l="1"/>
  <c r="D243" i="8"/>
  <c r="C39" i="8"/>
  <c r="D38" i="8"/>
  <c r="D94" i="8"/>
  <c r="C95" i="8"/>
  <c r="C153" i="8"/>
  <c r="D152" i="8"/>
  <c r="D302" i="8"/>
  <c r="C303" i="8"/>
  <c r="D398" i="8"/>
  <c r="C399" i="8"/>
  <c r="D39" i="8" l="1"/>
  <c r="C40" i="8"/>
  <c r="C400" i="8"/>
  <c r="D399" i="8"/>
  <c r="D153" i="8"/>
  <c r="C154" i="8"/>
  <c r="C304" i="8"/>
  <c r="D303" i="8"/>
  <c r="D95" i="8"/>
  <c r="C96" i="8"/>
  <c r="D244" i="8"/>
  <c r="C245" i="8"/>
  <c r="C401" i="8" l="1"/>
  <c r="D400" i="8"/>
  <c r="D401" i="8" s="1"/>
  <c r="C97" i="8"/>
  <c r="D96" i="8"/>
  <c r="C155" i="8"/>
  <c r="D154" i="8"/>
  <c r="D40" i="8"/>
  <c r="C41" i="8"/>
  <c r="D245" i="8"/>
  <c r="C246" i="8"/>
  <c r="D304" i="8"/>
  <c r="C305" i="8"/>
  <c r="C98" i="8" l="1"/>
  <c r="D97" i="8"/>
  <c r="D305" i="8"/>
  <c r="C306" i="8"/>
  <c r="D41" i="8"/>
  <c r="C42" i="8"/>
  <c r="C247" i="8"/>
  <c r="D246" i="8"/>
  <c r="C156" i="8"/>
  <c r="D155" i="8"/>
  <c r="D247" i="8" l="1"/>
  <c r="C248" i="8"/>
  <c r="D42" i="8"/>
  <c r="C43" i="8"/>
  <c r="C307" i="8"/>
  <c r="D306" i="8"/>
  <c r="C157" i="8"/>
  <c r="D156" i="8"/>
  <c r="D98" i="8"/>
  <c r="C99" i="8"/>
  <c r="C44" i="8" l="1"/>
  <c r="D43" i="8"/>
  <c r="C100" i="8"/>
  <c r="D99" i="8"/>
  <c r="D248" i="8"/>
  <c r="C249" i="8"/>
  <c r="C158" i="8"/>
  <c r="D157" i="8"/>
  <c r="C308" i="8"/>
  <c r="D307" i="8"/>
  <c r="C81" i="9" l="1"/>
  <c r="C159" i="8"/>
  <c r="D158" i="8"/>
  <c r="D100" i="8"/>
  <c r="C101" i="8"/>
  <c r="D249" i="8"/>
  <c r="C250" i="8"/>
  <c r="D308" i="8"/>
  <c r="C309" i="8"/>
  <c r="C45" i="8"/>
  <c r="D44" i="8"/>
  <c r="D81" i="9" l="1"/>
  <c r="D309" i="8"/>
  <c r="D310" i="8" s="1"/>
  <c r="C310" i="8"/>
  <c r="C311" i="8" s="1"/>
  <c r="D250" i="8"/>
  <c r="C251" i="8"/>
  <c r="D101" i="8"/>
  <c r="C102" i="8"/>
  <c r="C46" i="8"/>
  <c r="D45" i="8"/>
  <c r="C160" i="8"/>
  <c r="D159" i="8"/>
  <c r="C47" i="8" l="1"/>
  <c r="D46" i="8"/>
  <c r="C252" i="8"/>
  <c r="D251" i="8"/>
  <c r="C312" i="8"/>
  <c r="D311" i="8"/>
  <c r="C103" i="8"/>
  <c r="D102" i="8"/>
  <c r="D160" i="8"/>
  <c r="C161" i="8"/>
  <c r="D103" i="8" l="1"/>
  <c r="C104" i="8"/>
  <c r="C253" i="8"/>
  <c r="D252" i="8"/>
  <c r="D161" i="8"/>
  <c r="D162" i="8" s="1"/>
  <c r="C162" i="8"/>
  <c r="C163" i="8" s="1"/>
  <c r="D312" i="8"/>
  <c r="C313" i="8"/>
  <c r="C48" i="8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D47" i="8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C82" i="9" l="1"/>
  <c r="C83" i="9" s="1"/>
  <c r="D313" i="8"/>
  <c r="C314" i="8"/>
  <c r="C254" i="8"/>
  <c r="D253" i="8"/>
  <c r="C164" i="8"/>
  <c r="D163" i="8"/>
  <c r="C105" i="8"/>
  <c r="D104" i="8"/>
  <c r="C84" i="9" l="1"/>
  <c r="D83" i="9"/>
  <c r="D82" i="9"/>
  <c r="C106" i="8"/>
  <c r="D105" i="8"/>
  <c r="D314" i="8"/>
  <c r="C315" i="8"/>
  <c r="D254" i="8"/>
  <c r="C255" i="8"/>
  <c r="C165" i="8"/>
  <c r="D164" i="8"/>
  <c r="C85" i="9" l="1"/>
  <c r="D84" i="9"/>
  <c r="C166" i="8"/>
  <c r="D165" i="8"/>
  <c r="C256" i="8"/>
  <c r="D255" i="8"/>
  <c r="C316" i="8"/>
  <c r="D315" i="8"/>
  <c r="C107" i="8"/>
  <c r="D106" i="8"/>
  <c r="C86" i="9" l="1"/>
  <c r="D85" i="9"/>
  <c r="D107" i="8"/>
  <c r="C108" i="8"/>
  <c r="D256" i="8"/>
  <c r="C257" i="8"/>
  <c r="D316" i="8"/>
  <c r="C317" i="8"/>
  <c r="C167" i="8"/>
  <c r="D166" i="8"/>
  <c r="D86" i="9" l="1"/>
  <c r="D87" i="9" s="1"/>
  <c r="D88" i="9" s="1"/>
  <c r="C87" i="9"/>
  <c r="C88" i="9" s="1"/>
  <c r="C89" i="9" s="1"/>
  <c r="D257" i="8"/>
  <c r="C258" i="8"/>
  <c r="D108" i="8"/>
  <c r="C109" i="8"/>
  <c r="C168" i="8"/>
  <c r="D167" i="8"/>
  <c r="D317" i="8"/>
  <c r="C318" i="8"/>
  <c r="C90" i="9" l="1"/>
  <c r="D89" i="9"/>
  <c r="D318" i="8"/>
  <c r="C319" i="8"/>
  <c r="D109" i="8"/>
  <c r="C110" i="8"/>
  <c r="C259" i="8"/>
  <c r="D258" i="8"/>
  <c r="C169" i="8"/>
  <c r="D168" i="8"/>
  <c r="C91" i="9" l="1"/>
  <c r="D90" i="9"/>
  <c r="C111" i="8"/>
  <c r="D110" i="8"/>
  <c r="C320" i="8"/>
  <c r="D319" i="8"/>
  <c r="D169" i="8"/>
  <c r="C170" i="8"/>
  <c r="C260" i="8"/>
  <c r="D259" i="8"/>
  <c r="D91" i="9" l="1"/>
  <c r="C92" i="9"/>
  <c r="C261" i="8"/>
  <c r="D260" i="8"/>
  <c r="C171" i="8"/>
  <c r="D170" i="8"/>
  <c r="C321" i="8"/>
  <c r="D320" i="8"/>
  <c r="D111" i="8"/>
  <c r="C112" i="8"/>
  <c r="D92" i="9" l="1"/>
  <c r="C93" i="9"/>
  <c r="D171" i="8"/>
  <c r="C172" i="8"/>
  <c r="C113" i="8"/>
  <c r="D112" i="8"/>
  <c r="D321" i="8"/>
  <c r="C322" i="8"/>
  <c r="D261" i="8"/>
  <c r="C262" i="8"/>
  <c r="C94" i="9" l="1"/>
  <c r="D93" i="9"/>
  <c r="D262" i="8"/>
  <c r="C263" i="8"/>
  <c r="D263" i="8" s="1"/>
  <c r="C114" i="8"/>
  <c r="D113" i="8"/>
  <c r="C323" i="8"/>
  <c r="D322" i="8"/>
  <c r="C173" i="8"/>
  <c r="D172" i="8"/>
  <c r="D94" i="9" l="1"/>
  <c r="C95" i="9"/>
  <c r="C174" i="8"/>
  <c r="D173" i="8"/>
  <c r="D114" i="8"/>
  <c r="D115" i="8" s="1"/>
  <c r="D116" i="8" s="1"/>
  <c r="C115" i="8"/>
  <c r="C116" i="8" s="1"/>
  <c r="C324" i="8"/>
  <c r="D323" i="8"/>
  <c r="D95" i="9" l="1"/>
  <c r="C96" i="9"/>
  <c r="C325" i="8"/>
  <c r="D324" i="8"/>
  <c r="C175" i="8"/>
  <c r="D174" i="8"/>
  <c r="C97" i="9" l="1"/>
  <c r="D96" i="9"/>
  <c r="C176" i="8"/>
  <c r="D175" i="8"/>
  <c r="D325" i="8"/>
  <c r="C326" i="8"/>
  <c r="C98" i="9" l="1"/>
  <c r="D98" i="9" s="1"/>
  <c r="D97" i="9"/>
  <c r="D326" i="8"/>
  <c r="C327" i="8"/>
  <c r="C177" i="8"/>
  <c r="D176" i="8"/>
  <c r="C178" i="8" l="1"/>
  <c r="D177" i="8"/>
  <c r="C328" i="8"/>
  <c r="D327" i="8"/>
  <c r="C329" i="8" l="1"/>
  <c r="D328" i="8"/>
  <c r="C179" i="8"/>
  <c r="D178" i="8"/>
  <c r="D179" i="8" l="1"/>
  <c r="C180" i="8"/>
  <c r="D329" i="8"/>
  <c r="C330" i="8"/>
  <c r="D330" i="8" l="1"/>
  <c r="D331" i="8" s="1"/>
  <c r="D332" i="8" s="1"/>
  <c r="D333" i="8" s="1"/>
  <c r="D334" i="8" s="1"/>
  <c r="C331" i="8"/>
  <c r="C332" i="8" s="1"/>
  <c r="C333" i="8" s="1"/>
  <c r="C334" i="8" s="1"/>
  <c r="C335" i="8" s="1"/>
  <c r="D180" i="8"/>
  <c r="C181" i="8"/>
  <c r="C336" i="8" l="1"/>
  <c r="D335" i="8"/>
  <c r="C182" i="8"/>
  <c r="D181" i="8"/>
  <c r="C183" i="8" l="1"/>
  <c r="D182" i="8"/>
  <c r="D336" i="8"/>
  <c r="D337" i="8" s="1"/>
  <c r="C337" i="8"/>
  <c r="D183" i="8" l="1"/>
  <c r="C184" i="8"/>
  <c r="C185" i="8" l="1"/>
  <c r="D184" i="8"/>
  <c r="D185" i="8" l="1"/>
  <c r="C186" i="8"/>
  <c r="C187" i="8" l="1"/>
  <c r="D186" i="8"/>
  <c r="C188" i="8" l="1"/>
  <c r="D187" i="8"/>
  <c r="C189" i="8" l="1"/>
  <c r="D188" i="8"/>
  <c r="D189" i="8" l="1"/>
  <c r="C190" i="8"/>
  <c r="C191" i="8" l="1"/>
  <c r="D190" i="8"/>
  <c r="D191" i="8" l="1"/>
  <c r="C192" i="8"/>
  <c r="D192" i="8" l="1"/>
  <c r="C193" i="8"/>
  <c r="D193" i="8" l="1"/>
  <c r="C194" i="8"/>
  <c r="C195" i="8" l="1"/>
  <c r="D194" i="8"/>
  <c r="C196" i="8" l="1"/>
  <c r="C197" i="8" s="1"/>
  <c r="C198" i="8" s="1"/>
  <c r="C199" i="8" s="1"/>
  <c r="C200" i="8" s="1"/>
  <c r="C201" i="8" s="1"/>
  <c r="D195" i="8"/>
  <c r="D196" i="8" s="1"/>
  <c r="D197" i="8" s="1"/>
  <c r="D198" i="8" s="1"/>
  <c r="D199" i="8" s="1"/>
  <c r="D200" i="8" s="1"/>
  <c r="D201" i="8" s="1"/>
  <c r="F420" i="5" l="1"/>
  <c r="E420" i="5"/>
  <c r="C420" i="5" s="1"/>
  <c r="D420" i="5" s="1"/>
  <c r="K420" i="5"/>
  <c r="K418" i="5"/>
  <c r="K417" i="5"/>
  <c r="K416" i="5"/>
  <c r="K415" i="5"/>
  <c r="K414" i="5"/>
  <c r="F418" i="5"/>
  <c r="E418" i="5"/>
  <c r="F417" i="5"/>
  <c r="E417" i="5"/>
  <c r="F416" i="5"/>
  <c r="E416" i="5"/>
  <c r="C416" i="5" s="1"/>
  <c r="C417" i="5" s="1"/>
  <c r="C418" i="5" s="1"/>
  <c r="F415" i="5"/>
  <c r="E415" i="5"/>
  <c r="F414" i="5"/>
  <c r="E414" i="5"/>
  <c r="C415" i="5" s="1"/>
  <c r="D414" i="5"/>
  <c r="C414" i="5"/>
  <c r="F412" i="5"/>
  <c r="E412" i="5"/>
  <c r="F411" i="5"/>
  <c r="E411" i="5"/>
  <c r="F410" i="5"/>
  <c r="E410" i="5"/>
  <c r="F409" i="5"/>
  <c r="E409" i="5"/>
  <c r="F408" i="5"/>
  <c r="E408" i="5"/>
  <c r="C408" i="5" s="1"/>
  <c r="D408" i="5" s="1"/>
  <c r="K412" i="5"/>
  <c r="K411" i="5"/>
  <c r="K410" i="5"/>
  <c r="K409" i="5"/>
  <c r="AW6" i="3" s="1"/>
  <c r="K408" i="5"/>
  <c r="AW9" i="3"/>
  <c r="AW8" i="3"/>
  <c r="AW7" i="3"/>
  <c r="AW5" i="3"/>
  <c r="AW4" i="3"/>
  <c r="AW3" i="3"/>
  <c r="AW9" i="2"/>
  <c r="AW8" i="2"/>
  <c r="AW7" i="2"/>
  <c r="AW6" i="2"/>
  <c r="AW5" i="2"/>
  <c r="AW4" i="2"/>
  <c r="AW3" i="2"/>
  <c r="K406" i="5"/>
  <c r="F406" i="5"/>
  <c r="E406" i="5"/>
  <c r="K405" i="5"/>
  <c r="F405" i="5"/>
  <c r="E405" i="5"/>
  <c r="K404" i="5"/>
  <c r="F404" i="5"/>
  <c r="E404" i="5"/>
  <c r="D404" i="5"/>
  <c r="C404" i="5"/>
  <c r="K401" i="5"/>
  <c r="F401" i="5"/>
  <c r="E401" i="5"/>
  <c r="K400" i="5"/>
  <c r="F400" i="5"/>
  <c r="E400" i="5"/>
  <c r="K399" i="5"/>
  <c r="F399" i="5"/>
  <c r="E399" i="5"/>
  <c r="K398" i="5"/>
  <c r="F398" i="5"/>
  <c r="E398" i="5"/>
  <c r="K397" i="5"/>
  <c r="F397" i="5"/>
  <c r="E397" i="5"/>
  <c r="K396" i="5"/>
  <c r="F396" i="5"/>
  <c r="E396" i="5"/>
  <c r="K395" i="5"/>
  <c r="F395" i="5"/>
  <c r="E395" i="5"/>
  <c r="K394" i="5"/>
  <c r="F394" i="5"/>
  <c r="E394" i="5"/>
  <c r="K393" i="5"/>
  <c r="F393" i="5"/>
  <c r="E393" i="5"/>
  <c r="K392" i="5"/>
  <c r="F392" i="5"/>
  <c r="E392" i="5"/>
  <c r="K391" i="5"/>
  <c r="F391" i="5"/>
  <c r="E391" i="5"/>
  <c r="K390" i="5"/>
  <c r="F390" i="5"/>
  <c r="E390" i="5"/>
  <c r="K389" i="5"/>
  <c r="F389" i="5"/>
  <c r="E389" i="5"/>
  <c r="K388" i="5"/>
  <c r="F388" i="5"/>
  <c r="E388" i="5"/>
  <c r="K387" i="5"/>
  <c r="F387" i="5"/>
  <c r="E387" i="5"/>
  <c r="K386" i="5"/>
  <c r="F386" i="5"/>
  <c r="E386" i="5"/>
  <c r="K385" i="5"/>
  <c r="F385" i="5"/>
  <c r="E385" i="5"/>
  <c r="K384" i="5"/>
  <c r="F384" i="5"/>
  <c r="E384" i="5"/>
  <c r="K383" i="5"/>
  <c r="F383" i="5"/>
  <c r="E383" i="5"/>
  <c r="K382" i="5"/>
  <c r="F382" i="5"/>
  <c r="E382" i="5"/>
  <c r="K381" i="5"/>
  <c r="F381" i="5"/>
  <c r="E381" i="5"/>
  <c r="K380" i="5"/>
  <c r="F380" i="5"/>
  <c r="E380" i="5"/>
  <c r="K379" i="5"/>
  <c r="F379" i="5"/>
  <c r="E379" i="5"/>
  <c r="K378" i="5"/>
  <c r="F378" i="5"/>
  <c r="E378" i="5"/>
  <c r="K377" i="5"/>
  <c r="F377" i="5"/>
  <c r="E377" i="5"/>
  <c r="K376" i="5"/>
  <c r="F376" i="5"/>
  <c r="E376" i="5"/>
  <c r="K375" i="5"/>
  <c r="F375" i="5"/>
  <c r="E375" i="5"/>
  <c r="K374" i="5"/>
  <c r="F374" i="5"/>
  <c r="E374" i="5"/>
  <c r="K373" i="5"/>
  <c r="F373" i="5"/>
  <c r="E373" i="5"/>
  <c r="K372" i="5"/>
  <c r="F372" i="5"/>
  <c r="E372" i="5"/>
  <c r="K371" i="5"/>
  <c r="F371" i="5"/>
  <c r="E371" i="5"/>
  <c r="C371" i="5" s="1"/>
  <c r="K370" i="5"/>
  <c r="F370" i="5"/>
  <c r="E370" i="5"/>
  <c r="K369" i="5"/>
  <c r="F369" i="5"/>
  <c r="E369" i="5"/>
  <c r="C370" i="5" s="1"/>
  <c r="K368" i="5"/>
  <c r="F368" i="5"/>
  <c r="E368" i="5"/>
  <c r="K367" i="5"/>
  <c r="F367" i="5"/>
  <c r="E367" i="5"/>
  <c r="K366" i="5"/>
  <c r="F366" i="5"/>
  <c r="E366" i="5"/>
  <c r="K365" i="5"/>
  <c r="F365" i="5"/>
  <c r="E365" i="5"/>
  <c r="K364" i="5"/>
  <c r="F364" i="5"/>
  <c r="E364" i="5"/>
  <c r="K363" i="5"/>
  <c r="F363" i="5"/>
  <c r="E363" i="5"/>
  <c r="K362" i="5"/>
  <c r="F362" i="5"/>
  <c r="E362" i="5"/>
  <c r="K361" i="5"/>
  <c r="F361" i="5"/>
  <c r="E361" i="5"/>
  <c r="K360" i="5"/>
  <c r="F360" i="5"/>
  <c r="E360" i="5"/>
  <c r="K359" i="5"/>
  <c r="D359" i="5" s="1"/>
  <c r="F359" i="5"/>
  <c r="E359" i="5"/>
  <c r="C359" i="5" s="1"/>
  <c r="K358" i="5"/>
  <c r="D394" i="5" s="1"/>
  <c r="F358" i="5"/>
  <c r="E358" i="5"/>
  <c r="C394" i="5" s="1"/>
  <c r="K357" i="5"/>
  <c r="F357" i="5"/>
  <c r="E357" i="5"/>
  <c r="K356" i="5"/>
  <c r="F356" i="5"/>
  <c r="E356" i="5"/>
  <c r="K355" i="5"/>
  <c r="F355" i="5"/>
  <c r="E355" i="5"/>
  <c r="K354" i="5"/>
  <c r="F354" i="5"/>
  <c r="E354" i="5"/>
  <c r="K353" i="5"/>
  <c r="F353" i="5"/>
  <c r="E353" i="5"/>
  <c r="K352" i="5"/>
  <c r="F352" i="5"/>
  <c r="E352" i="5"/>
  <c r="K351" i="5"/>
  <c r="F351" i="5"/>
  <c r="E351" i="5"/>
  <c r="K350" i="5"/>
  <c r="F350" i="5"/>
  <c r="E350" i="5"/>
  <c r="K349" i="5"/>
  <c r="F349" i="5"/>
  <c r="E349" i="5"/>
  <c r="K348" i="5"/>
  <c r="F348" i="5"/>
  <c r="E348" i="5"/>
  <c r="K347" i="5"/>
  <c r="F347" i="5"/>
  <c r="E347" i="5"/>
  <c r="K346" i="5"/>
  <c r="F346" i="5"/>
  <c r="E346" i="5"/>
  <c r="K345" i="5"/>
  <c r="F345" i="5"/>
  <c r="E345" i="5"/>
  <c r="K344" i="5"/>
  <c r="F344" i="5"/>
  <c r="E344" i="5"/>
  <c r="K343" i="5"/>
  <c r="F343" i="5"/>
  <c r="E343" i="5"/>
  <c r="K342" i="5"/>
  <c r="F342" i="5"/>
  <c r="E342" i="5"/>
  <c r="K341" i="5"/>
  <c r="F341" i="5"/>
  <c r="E341" i="5"/>
  <c r="K340" i="5"/>
  <c r="F340" i="5"/>
  <c r="E340" i="5"/>
  <c r="K339" i="5"/>
  <c r="F339" i="5"/>
  <c r="E339" i="5"/>
  <c r="C339" i="5" s="1"/>
  <c r="K338" i="5"/>
  <c r="F338" i="5"/>
  <c r="E338" i="5"/>
  <c r="K337" i="5"/>
  <c r="F337" i="5"/>
  <c r="E337" i="5"/>
  <c r="C338" i="5" s="1"/>
  <c r="K336" i="5"/>
  <c r="F336" i="5"/>
  <c r="E336" i="5"/>
  <c r="K335" i="5"/>
  <c r="F335" i="5"/>
  <c r="E335" i="5"/>
  <c r="K334" i="5"/>
  <c r="F334" i="5"/>
  <c r="E334" i="5"/>
  <c r="K333" i="5"/>
  <c r="F333" i="5"/>
  <c r="E333" i="5"/>
  <c r="K332" i="5"/>
  <c r="F332" i="5"/>
  <c r="E332" i="5"/>
  <c r="K331" i="5"/>
  <c r="F331" i="5"/>
  <c r="E331" i="5"/>
  <c r="K330" i="5"/>
  <c r="F330" i="5"/>
  <c r="E330" i="5"/>
  <c r="K329" i="5"/>
  <c r="F329" i="5"/>
  <c r="E329" i="5"/>
  <c r="K328" i="5"/>
  <c r="F328" i="5"/>
  <c r="E328" i="5"/>
  <c r="K327" i="5"/>
  <c r="F327" i="5"/>
  <c r="E327" i="5"/>
  <c r="K326" i="5"/>
  <c r="F326" i="5"/>
  <c r="E326" i="5"/>
  <c r="K325" i="5"/>
  <c r="F325" i="5"/>
  <c r="E325" i="5"/>
  <c r="K324" i="5"/>
  <c r="F324" i="5"/>
  <c r="E324" i="5"/>
  <c r="K323" i="5"/>
  <c r="F323" i="5"/>
  <c r="E323" i="5"/>
  <c r="K322" i="5"/>
  <c r="F322" i="5"/>
  <c r="E322" i="5"/>
  <c r="K321" i="5"/>
  <c r="F321" i="5"/>
  <c r="E321" i="5"/>
  <c r="K320" i="5"/>
  <c r="F320" i="5"/>
  <c r="E320" i="5"/>
  <c r="K319" i="5"/>
  <c r="F319" i="5"/>
  <c r="E319" i="5"/>
  <c r="K318" i="5"/>
  <c r="F318" i="5"/>
  <c r="E318" i="5"/>
  <c r="K317" i="5"/>
  <c r="F317" i="5"/>
  <c r="E317" i="5"/>
  <c r="K316" i="5"/>
  <c r="F316" i="5"/>
  <c r="E316" i="5"/>
  <c r="K315" i="5"/>
  <c r="F315" i="5"/>
  <c r="E315" i="5"/>
  <c r="K314" i="5"/>
  <c r="F314" i="5"/>
  <c r="E314" i="5"/>
  <c r="K313" i="5"/>
  <c r="F313" i="5"/>
  <c r="E313" i="5"/>
  <c r="K312" i="5"/>
  <c r="F312" i="5"/>
  <c r="E312" i="5"/>
  <c r="K311" i="5"/>
  <c r="F311" i="5"/>
  <c r="E311" i="5"/>
  <c r="K310" i="5"/>
  <c r="F310" i="5"/>
  <c r="E310" i="5"/>
  <c r="K309" i="5"/>
  <c r="F309" i="5"/>
  <c r="E309" i="5"/>
  <c r="K308" i="5"/>
  <c r="F308" i="5"/>
  <c r="E308" i="5"/>
  <c r="K307" i="5"/>
  <c r="F307" i="5"/>
  <c r="E307" i="5"/>
  <c r="K306" i="5"/>
  <c r="F306" i="5"/>
  <c r="E306" i="5"/>
  <c r="K305" i="5"/>
  <c r="F305" i="5"/>
  <c r="E305" i="5"/>
  <c r="K304" i="5"/>
  <c r="F304" i="5"/>
  <c r="E304" i="5"/>
  <c r="K303" i="5"/>
  <c r="F303" i="5"/>
  <c r="E303" i="5"/>
  <c r="K302" i="5"/>
  <c r="F302" i="5"/>
  <c r="E302" i="5"/>
  <c r="K301" i="5"/>
  <c r="F301" i="5"/>
  <c r="E301" i="5"/>
  <c r="K300" i="5"/>
  <c r="F300" i="5"/>
  <c r="E300" i="5"/>
  <c r="K299" i="5"/>
  <c r="F299" i="5"/>
  <c r="E299" i="5"/>
  <c r="K298" i="5"/>
  <c r="F298" i="5"/>
  <c r="E298" i="5"/>
  <c r="K297" i="5"/>
  <c r="F297" i="5"/>
  <c r="E297" i="5"/>
  <c r="K296" i="5"/>
  <c r="F296" i="5"/>
  <c r="E296" i="5"/>
  <c r="K295" i="5"/>
  <c r="F295" i="5"/>
  <c r="E295" i="5"/>
  <c r="K294" i="5"/>
  <c r="F294" i="5"/>
  <c r="E294" i="5"/>
  <c r="K293" i="5"/>
  <c r="F293" i="5"/>
  <c r="E293" i="5"/>
  <c r="K292" i="5"/>
  <c r="F292" i="5"/>
  <c r="E292" i="5"/>
  <c r="K291" i="5"/>
  <c r="F291" i="5"/>
  <c r="E291" i="5"/>
  <c r="K290" i="5"/>
  <c r="F290" i="5"/>
  <c r="E290" i="5"/>
  <c r="K289" i="5"/>
  <c r="F289" i="5"/>
  <c r="E289" i="5"/>
  <c r="K288" i="5"/>
  <c r="F288" i="5"/>
  <c r="E288" i="5"/>
  <c r="K287" i="5"/>
  <c r="F287" i="5"/>
  <c r="E287" i="5"/>
  <c r="K286" i="5"/>
  <c r="F286" i="5"/>
  <c r="E286" i="5"/>
  <c r="K285" i="5"/>
  <c r="F285" i="5"/>
  <c r="E285" i="5"/>
  <c r="K284" i="5"/>
  <c r="F284" i="5"/>
  <c r="E284" i="5"/>
  <c r="K283" i="5"/>
  <c r="F283" i="5"/>
  <c r="E283" i="5"/>
  <c r="K282" i="5"/>
  <c r="F282" i="5"/>
  <c r="E282" i="5"/>
  <c r="K281" i="5"/>
  <c r="F281" i="5"/>
  <c r="E281" i="5"/>
  <c r="K280" i="5"/>
  <c r="F280" i="5"/>
  <c r="E280" i="5"/>
  <c r="K279" i="5"/>
  <c r="F279" i="5"/>
  <c r="E279" i="5"/>
  <c r="K278" i="5"/>
  <c r="F278" i="5"/>
  <c r="E278" i="5"/>
  <c r="K277" i="5"/>
  <c r="F277" i="5"/>
  <c r="E277" i="5"/>
  <c r="K276" i="5"/>
  <c r="F276" i="5"/>
  <c r="E276" i="5"/>
  <c r="K275" i="5"/>
  <c r="F275" i="5"/>
  <c r="E275" i="5"/>
  <c r="K274" i="5"/>
  <c r="F274" i="5"/>
  <c r="E274" i="5"/>
  <c r="K273" i="5"/>
  <c r="F273" i="5"/>
  <c r="E273" i="5"/>
  <c r="K272" i="5"/>
  <c r="F272" i="5"/>
  <c r="E272" i="5"/>
  <c r="K271" i="5"/>
  <c r="F271" i="5"/>
  <c r="E271" i="5"/>
  <c r="K270" i="5"/>
  <c r="F270" i="5"/>
  <c r="E270" i="5"/>
  <c r="K269" i="5"/>
  <c r="F269" i="5"/>
  <c r="E269" i="5"/>
  <c r="K268" i="5"/>
  <c r="F268" i="5"/>
  <c r="E268" i="5"/>
  <c r="K267" i="5"/>
  <c r="F267" i="5"/>
  <c r="E267" i="5"/>
  <c r="K266" i="5"/>
  <c r="F266" i="5"/>
  <c r="E266" i="5"/>
  <c r="K265" i="5"/>
  <c r="F265" i="5"/>
  <c r="E265" i="5"/>
  <c r="K264" i="5"/>
  <c r="F264" i="5"/>
  <c r="E264" i="5"/>
  <c r="K263" i="5"/>
  <c r="F263" i="5"/>
  <c r="E263" i="5"/>
  <c r="K262" i="5"/>
  <c r="F262" i="5"/>
  <c r="E262" i="5"/>
  <c r="K261" i="5"/>
  <c r="F261" i="5"/>
  <c r="E261" i="5"/>
  <c r="K260" i="5"/>
  <c r="F260" i="5"/>
  <c r="E260" i="5"/>
  <c r="K259" i="5"/>
  <c r="F259" i="5"/>
  <c r="E259" i="5"/>
  <c r="K258" i="5"/>
  <c r="F258" i="5"/>
  <c r="E258" i="5"/>
  <c r="K257" i="5"/>
  <c r="F257" i="5"/>
  <c r="E257" i="5"/>
  <c r="K256" i="5"/>
  <c r="F256" i="5"/>
  <c r="E256" i="5"/>
  <c r="K255" i="5"/>
  <c r="F255" i="5"/>
  <c r="E255" i="5"/>
  <c r="K254" i="5"/>
  <c r="F254" i="5"/>
  <c r="E254" i="5"/>
  <c r="K253" i="5"/>
  <c r="F253" i="5"/>
  <c r="E253" i="5"/>
  <c r="K252" i="5"/>
  <c r="F252" i="5"/>
  <c r="E252" i="5"/>
  <c r="K251" i="5"/>
  <c r="F251" i="5"/>
  <c r="E251" i="5"/>
  <c r="K250" i="5"/>
  <c r="F250" i="5"/>
  <c r="E250" i="5"/>
  <c r="K249" i="5"/>
  <c r="F249" i="5"/>
  <c r="E249" i="5"/>
  <c r="K248" i="5"/>
  <c r="F248" i="5"/>
  <c r="E248" i="5"/>
  <c r="K247" i="5"/>
  <c r="F247" i="5"/>
  <c r="E247" i="5"/>
  <c r="K246" i="5"/>
  <c r="F246" i="5"/>
  <c r="E246" i="5"/>
  <c r="K245" i="5"/>
  <c r="F245" i="5"/>
  <c r="E245" i="5"/>
  <c r="K244" i="5"/>
  <c r="F244" i="5"/>
  <c r="E244" i="5"/>
  <c r="K243" i="5"/>
  <c r="F243" i="5"/>
  <c r="E243" i="5"/>
  <c r="K242" i="5"/>
  <c r="F242" i="5"/>
  <c r="E242" i="5"/>
  <c r="K241" i="5"/>
  <c r="F241" i="5"/>
  <c r="E241" i="5"/>
  <c r="K240" i="5"/>
  <c r="F240" i="5"/>
  <c r="E240" i="5"/>
  <c r="K239" i="5"/>
  <c r="F239" i="5"/>
  <c r="E239" i="5"/>
  <c r="K238" i="5"/>
  <c r="F238" i="5"/>
  <c r="E238" i="5"/>
  <c r="K237" i="5"/>
  <c r="F237" i="5"/>
  <c r="E237" i="5"/>
  <c r="K236" i="5"/>
  <c r="F236" i="5"/>
  <c r="E236" i="5"/>
  <c r="K235" i="5"/>
  <c r="F235" i="5"/>
  <c r="E235" i="5"/>
  <c r="K234" i="5"/>
  <c r="F234" i="5"/>
  <c r="E234" i="5"/>
  <c r="K233" i="5"/>
  <c r="F233" i="5"/>
  <c r="E233" i="5"/>
  <c r="K232" i="5"/>
  <c r="F232" i="5"/>
  <c r="E232" i="5"/>
  <c r="K231" i="5"/>
  <c r="F231" i="5"/>
  <c r="E231" i="5"/>
  <c r="K230" i="5"/>
  <c r="F230" i="5"/>
  <c r="E230" i="5"/>
  <c r="K229" i="5"/>
  <c r="F229" i="5"/>
  <c r="E229" i="5"/>
  <c r="K228" i="5"/>
  <c r="F228" i="5"/>
  <c r="E228" i="5"/>
  <c r="K227" i="5"/>
  <c r="F227" i="5"/>
  <c r="E227" i="5"/>
  <c r="K226" i="5"/>
  <c r="F226" i="5"/>
  <c r="E226" i="5"/>
  <c r="K225" i="5"/>
  <c r="F225" i="5"/>
  <c r="E225" i="5"/>
  <c r="K224" i="5"/>
  <c r="F224" i="5"/>
  <c r="E224" i="5"/>
  <c r="K223" i="5"/>
  <c r="F223" i="5"/>
  <c r="E223" i="5"/>
  <c r="K222" i="5"/>
  <c r="F222" i="5"/>
  <c r="E222" i="5"/>
  <c r="K221" i="5"/>
  <c r="F221" i="5"/>
  <c r="E221" i="5"/>
  <c r="K220" i="5"/>
  <c r="F220" i="5"/>
  <c r="E220" i="5"/>
  <c r="K219" i="5"/>
  <c r="F219" i="5"/>
  <c r="E219" i="5"/>
  <c r="K218" i="5"/>
  <c r="F218" i="5"/>
  <c r="E218" i="5"/>
  <c r="K217" i="5"/>
  <c r="F217" i="5"/>
  <c r="E217" i="5"/>
  <c r="K216" i="5"/>
  <c r="F216" i="5"/>
  <c r="E216" i="5"/>
  <c r="K215" i="5"/>
  <c r="F215" i="5"/>
  <c r="E215" i="5"/>
  <c r="K214" i="5"/>
  <c r="F214" i="5"/>
  <c r="E214" i="5"/>
  <c r="K213" i="5"/>
  <c r="F213" i="5"/>
  <c r="E213" i="5"/>
  <c r="K212" i="5"/>
  <c r="F212" i="5"/>
  <c r="E212" i="5"/>
  <c r="K211" i="5"/>
  <c r="F211" i="5"/>
  <c r="E211" i="5"/>
  <c r="K210" i="5"/>
  <c r="F210" i="5"/>
  <c r="E210" i="5"/>
  <c r="K209" i="5"/>
  <c r="F209" i="5"/>
  <c r="E209" i="5"/>
  <c r="K208" i="5"/>
  <c r="F208" i="5"/>
  <c r="E208" i="5"/>
  <c r="K207" i="5"/>
  <c r="F207" i="5"/>
  <c r="E207" i="5"/>
  <c r="K206" i="5"/>
  <c r="F206" i="5"/>
  <c r="E206" i="5"/>
  <c r="K205" i="5"/>
  <c r="F205" i="5"/>
  <c r="E205" i="5"/>
  <c r="K204" i="5"/>
  <c r="F204" i="5"/>
  <c r="E204" i="5"/>
  <c r="K203" i="5"/>
  <c r="F203" i="5"/>
  <c r="E203" i="5"/>
  <c r="K202" i="5"/>
  <c r="F202" i="5"/>
  <c r="E202" i="5"/>
  <c r="K201" i="5"/>
  <c r="F201" i="5"/>
  <c r="E201" i="5"/>
  <c r="K200" i="5"/>
  <c r="F200" i="5"/>
  <c r="E200" i="5"/>
  <c r="K199" i="5"/>
  <c r="F199" i="5"/>
  <c r="E199" i="5"/>
  <c r="K198" i="5"/>
  <c r="F198" i="5"/>
  <c r="E198" i="5"/>
  <c r="K197" i="5"/>
  <c r="F197" i="5"/>
  <c r="E197" i="5"/>
  <c r="K196" i="5"/>
  <c r="F196" i="5"/>
  <c r="E196" i="5"/>
  <c r="K195" i="5"/>
  <c r="F195" i="5"/>
  <c r="E195" i="5"/>
  <c r="K194" i="5"/>
  <c r="F194" i="5"/>
  <c r="E194" i="5"/>
  <c r="K193" i="5"/>
  <c r="F193" i="5"/>
  <c r="E193" i="5"/>
  <c r="K192" i="5"/>
  <c r="F192" i="5"/>
  <c r="E192" i="5"/>
  <c r="K191" i="5"/>
  <c r="F191" i="5"/>
  <c r="E191" i="5"/>
  <c r="K190" i="5"/>
  <c r="F190" i="5"/>
  <c r="E190" i="5"/>
  <c r="K189" i="5"/>
  <c r="F189" i="5"/>
  <c r="E189" i="5"/>
  <c r="K188" i="5"/>
  <c r="F188" i="5"/>
  <c r="E188" i="5"/>
  <c r="K187" i="5"/>
  <c r="F187" i="5"/>
  <c r="E187" i="5"/>
  <c r="K186" i="5"/>
  <c r="F186" i="5"/>
  <c r="E186" i="5"/>
  <c r="K185" i="5"/>
  <c r="F185" i="5"/>
  <c r="E185" i="5"/>
  <c r="K184" i="5"/>
  <c r="F184" i="5"/>
  <c r="E184" i="5"/>
  <c r="K183" i="5"/>
  <c r="F183" i="5"/>
  <c r="E183" i="5"/>
  <c r="K182" i="5"/>
  <c r="F182" i="5"/>
  <c r="E182" i="5"/>
  <c r="K181" i="5"/>
  <c r="F181" i="5"/>
  <c r="E181" i="5"/>
  <c r="K180" i="5"/>
  <c r="F180" i="5"/>
  <c r="E180" i="5"/>
  <c r="K179" i="5"/>
  <c r="F179" i="5"/>
  <c r="E179" i="5"/>
  <c r="K178" i="5"/>
  <c r="F178" i="5"/>
  <c r="E178" i="5"/>
  <c r="K177" i="5"/>
  <c r="F177" i="5"/>
  <c r="E177" i="5"/>
  <c r="K176" i="5"/>
  <c r="F176" i="5"/>
  <c r="E176" i="5"/>
  <c r="K175" i="5"/>
  <c r="F175" i="5"/>
  <c r="E175" i="5"/>
  <c r="K174" i="5"/>
  <c r="F174" i="5"/>
  <c r="E174" i="5"/>
  <c r="K173" i="5"/>
  <c r="F173" i="5"/>
  <c r="E173" i="5"/>
  <c r="K172" i="5"/>
  <c r="F172" i="5"/>
  <c r="E172" i="5"/>
  <c r="K171" i="5"/>
  <c r="F171" i="5"/>
  <c r="E171" i="5"/>
  <c r="K170" i="5"/>
  <c r="F170" i="5"/>
  <c r="E170" i="5"/>
  <c r="K169" i="5"/>
  <c r="F169" i="5"/>
  <c r="E169" i="5"/>
  <c r="K168" i="5"/>
  <c r="F168" i="5"/>
  <c r="E168" i="5"/>
  <c r="K167" i="5"/>
  <c r="F167" i="5"/>
  <c r="E167" i="5"/>
  <c r="K166" i="5"/>
  <c r="F166" i="5"/>
  <c r="E166" i="5"/>
  <c r="K165" i="5"/>
  <c r="F165" i="5"/>
  <c r="E165" i="5"/>
  <c r="K164" i="5"/>
  <c r="F164" i="5"/>
  <c r="E164" i="5"/>
  <c r="K163" i="5"/>
  <c r="F163" i="5"/>
  <c r="E163" i="5"/>
  <c r="K162" i="5"/>
  <c r="F162" i="5"/>
  <c r="E162" i="5"/>
  <c r="K161" i="5"/>
  <c r="F161" i="5"/>
  <c r="E161" i="5"/>
  <c r="K160" i="5"/>
  <c r="F160" i="5"/>
  <c r="E160" i="5"/>
  <c r="K159" i="5"/>
  <c r="F159" i="5"/>
  <c r="E159" i="5"/>
  <c r="K158" i="5"/>
  <c r="F158" i="5"/>
  <c r="E158" i="5"/>
  <c r="K157" i="5"/>
  <c r="F157" i="5"/>
  <c r="E157" i="5"/>
  <c r="K156" i="5"/>
  <c r="F156" i="5"/>
  <c r="E156" i="5"/>
  <c r="K155" i="5"/>
  <c r="F155" i="5"/>
  <c r="E155" i="5"/>
  <c r="K154" i="5"/>
  <c r="F154" i="5"/>
  <c r="E154" i="5"/>
  <c r="K153" i="5"/>
  <c r="F153" i="5"/>
  <c r="E153" i="5"/>
  <c r="K152" i="5"/>
  <c r="F152" i="5"/>
  <c r="E152" i="5"/>
  <c r="K151" i="5"/>
  <c r="F151" i="5"/>
  <c r="E151" i="5"/>
  <c r="K150" i="5"/>
  <c r="F150" i="5"/>
  <c r="E150" i="5"/>
  <c r="K149" i="5"/>
  <c r="F149" i="5"/>
  <c r="E149" i="5"/>
  <c r="K148" i="5"/>
  <c r="F148" i="5"/>
  <c r="E148" i="5"/>
  <c r="K147" i="5"/>
  <c r="F147" i="5"/>
  <c r="E147" i="5"/>
  <c r="K146" i="5"/>
  <c r="F146" i="5"/>
  <c r="E146" i="5"/>
  <c r="K145" i="5"/>
  <c r="F145" i="5"/>
  <c r="E145" i="5"/>
  <c r="K144" i="5"/>
  <c r="F144" i="5"/>
  <c r="E144" i="5"/>
  <c r="K143" i="5"/>
  <c r="F143" i="5"/>
  <c r="E143" i="5"/>
  <c r="K142" i="5"/>
  <c r="F142" i="5"/>
  <c r="E142" i="5"/>
  <c r="K141" i="5"/>
  <c r="F141" i="5"/>
  <c r="E141" i="5"/>
  <c r="K140" i="5"/>
  <c r="F140" i="5"/>
  <c r="E140" i="5"/>
  <c r="K139" i="5"/>
  <c r="F139" i="5"/>
  <c r="E139" i="5"/>
  <c r="K138" i="5"/>
  <c r="F138" i="5"/>
  <c r="E138" i="5"/>
  <c r="K137" i="5"/>
  <c r="F137" i="5"/>
  <c r="E137" i="5"/>
  <c r="K136" i="5"/>
  <c r="F136" i="5"/>
  <c r="E136" i="5"/>
  <c r="K135" i="5"/>
  <c r="F135" i="5"/>
  <c r="E135" i="5"/>
  <c r="K134" i="5"/>
  <c r="F134" i="5"/>
  <c r="E134" i="5"/>
  <c r="K133" i="5"/>
  <c r="F133" i="5"/>
  <c r="E133" i="5"/>
  <c r="K132" i="5"/>
  <c r="F132" i="5"/>
  <c r="E132" i="5"/>
  <c r="K131" i="5"/>
  <c r="F131" i="5"/>
  <c r="E131" i="5"/>
  <c r="K130" i="5"/>
  <c r="F130" i="5"/>
  <c r="E130" i="5"/>
  <c r="K129" i="5"/>
  <c r="F129" i="5"/>
  <c r="E129" i="5"/>
  <c r="K128" i="5"/>
  <c r="F128" i="5"/>
  <c r="E128" i="5"/>
  <c r="K127" i="5"/>
  <c r="F127" i="5"/>
  <c r="E127" i="5"/>
  <c r="K126" i="5"/>
  <c r="F126" i="5"/>
  <c r="E126" i="5"/>
  <c r="K125" i="5"/>
  <c r="F125" i="5"/>
  <c r="E125" i="5"/>
  <c r="K124" i="5"/>
  <c r="F124" i="5"/>
  <c r="E124" i="5"/>
  <c r="K123" i="5"/>
  <c r="F123" i="5"/>
  <c r="E123" i="5"/>
  <c r="K122" i="5"/>
  <c r="F122" i="5"/>
  <c r="E122" i="5"/>
  <c r="K121" i="5"/>
  <c r="F121" i="5"/>
  <c r="E121" i="5"/>
  <c r="K120" i="5"/>
  <c r="F120" i="5"/>
  <c r="E120" i="5"/>
  <c r="K119" i="5"/>
  <c r="F119" i="5"/>
  <c r="E119" i="5"/>
  <c r="K118" i="5"/>
  <c r="F118" i="5"/>
  <c r="E118" i="5"/>
  <c r="K117" i="5"/>
  <c r="F117" i="5"/>
  <c r="E117" i="5"/>
  <c r="K116" i="5"/>
  <c r="F116" i="5"/>
  <c r="E116" i="5"/>
  <c r="C117" i="5" s="1"/>
  <c r="K115" i="5"/>
  <c r="F115" i="5"/>
  <c r="E115" i="5"/>
  <c r="K114" i="5"/>
  <c r="F114" i="5"/>
  <c r="E114" i="5"/>
  <c r="K113" i="5"/>
  <c r="F113" i="5"/>
  <c r="E113" i="5"/>
  <c r="K112" i="5"/>
  <c r="F112" i="5"/>
  <c r="E112" i="5"/>
  <c r="K111" i="5"/>
  <c r="F111" i="5"/>
  <c r="E111" i="5"/>
  <c r="K110" i="5"/>
  <c r="F110" i="5"/>
  <c r="E110" i="5"/>
  <c r="K109" i="5"/>
  <c r="F109" i="5"/>
  <c r="E109" i="5"/>
  <c r="K108" i="5"/>
  <c r="F108" i="5"/>
  <c r="E108" i="5"/>
  <c r="K107" i="5"/>
  <c r="F107" i="5"/>
  <c r="E107" i="5"/>
  <c r="K106" i="5"/>
  <c r="F106" i="5"/>
  <c r="E106" i="5"/>
  <c r="K105" i="5"/>
  <c r="F105" i="5"/>
  <c r="E105" i="5"/>
  <c r="K104" i="5"/>
  <c r="F104" i="5"/>
  <c r="E104" i="5"/>
  <c r="K103" i="5"/>
  <c r="F103" i="5"/>
  <c r="E103" i="5"/>
  <c r="K102" i="5"/>
  <c r="F102" i="5"/>
  <c r="E102" i="5"/>
  <c r="K101" i="5"/>
  <c r="F101" i="5"/>
  <c r="E101" i="5"/>
  <c r="K100" i="5"/>
  <c r="F100" i="5"/>
  <c r="E100" i="5"/>
  <c r="K99" i="5"/>
  <c r="F99" i="5"/>
  <c r="E99" i="5"/>
  <c r="K98" i="5"/>
  <c r="F98" i="5"/>
  <c r="E98" i="5"/>
  <c r="K97" i="5"/>
  <c r="F97" i="5"/>
  <c r="E97" i="5"/>
  <c r="K96" i="5"/>
  <c r="F96" i="5"/>
  <c r="E96" i="5"/>
  <c r="K95" i="5"/>
  <c r="F95" i="5"/>
  <c r="E95" i="5"/>
  <c r="K94" i="5"/>
  <c r="F94" i="5"/>
  <c r="E94" i="5"/>
  <c r="K93" i="5"/>
  <c r="F93" i="5"/>
  <c r="E93" i="5"/>
  <c r="K92" i="5"/>
  <c r="F92" i="5"/>
  <c r="E92" i="5"/>
  <c r="K91" i="5"/>
  <c r="F91" i="5"/>
  <c r="E91" i="5"/>
  <c r="K90" i="5"/>
  <c r="F90" i="5"/>
  <c r="E90" i="5"/>
  <c r="K89" i="5"/>
  <c r="F89" i="5"/>
  <c r="E89" i="5"/>
  <c r="K88" i="5"/>
  <c r="F88" i="5"/>
  <c r="E88" i="5"/>
  <c r="K87" i="5"/>
  <c r="F87" i="5"/>
  <c r="E87" i="5"/>
  <c r="K86" i="5"/>
  <c r="F86" i="5"/>
  <c r="E86" i="5"/>
  <c r="K85" i="5"/>
  <c r="F85" i="5"/>
  <c r="E85" i="5"/>
  <c r="K84" i="5"/>
  <c r="F84" i="5"/>
  <c r="E84" i="5"/>
  <c r="K83" i="5"/>
  <c r="F83" i="5"/>
  <c r="E83" i="5"/>
  <c r="K82" i="5"/>
  <c r="F82" i="5"/>
  <c r="E82" i="5"/>
  <c r="K81" i="5"/>
  <c r="F81" i="5"/>
  <c r="E81" i="5"/>
  <c r="K80" i="5"/>
  <c r="F80" i="5"/>
  <c r="E80" i="5"/>
  <c r="K79" i="5"/>
  <c r="F79" i="5"/>
  <c r="E79" i="5"/>
  <c r="K78" i="5"/>
  <c r="F78" i="5"/>
  <c r="E78" i="5"/>
  <c r="K77" i="5"/>
  <c r="F77" i="5"/>
  <c r="E77" i="5"/>
  <c r="K76" i="5"/>
  <c r="F76" i="5"/>
  <c r="E76" i="5"/>
  <c r="K75" i="5"/>
  <c r="F75" i="5"/>
  <c r="E75" i="5"/>
  <c r="K74" i="5"/>
  <c r="F74" i="5"/>
  <c r="E74" i="5"/>
  <c r="K73" i="5"/>
  <c r="F73" i="5"/>
  <c r="E73" i="5"/>
  <c r="K72" i="5"/>
  <c r="F72" i="5"/>
  <c r="E72" i="5"/>
  <c r="K71" i="5"/>
  <c r="F71" i="5"/>
  <c r="E71" i="5"/>
  <c r="K70" i="5"/>
  <c r="F70" i="5"/>
  <c r="E70" i="5"/>
  <c r="K69" i="5"/>
  <c r="F69" i="5"/>
  <c r="E69" i="5"/>
  <c r="K68" i="5"/>
  <c r="F68" i="5"/>
  <c r="E68" i="5"/>
  <c r="K67" i="5"/>
  <c r="F67" i="5"/>
  <c r="E67" i="5"/>
  <c r="K66" i="5"/>
  <c r="F66" i="5"/>
  <c r="E66" i="5"/>
  <c r="K65" i="5"/>
  <c r="F65" i="5"/>
  <c r="E65" i="5"/>
  <c r="K64" i="5"/>
  <c r="F64" i="5"/>
  <c r="E64" i="5"/>
  <c r="K63" i="5"/>
  <c r="F63" i="5"/>
  <c r="E63" i="5"/>
  <c r="C64" i="5" s="1"/>
  <c r="K62" i="5"/>
  <c r="F62" i="5"/>
  <c r="E62" i="5"/>
  <c r="K61" i="5"/>
  <c r="F61" i="5"/>
  <c r="E61" i="5"/>
  <c r="K60" i="5"/>
  <c r="F60" i="5"/>
  <c r="E60" i="5"/>
  <c r="K59" i="5"/>
  <c r="F59" i="5"/>
  <c r="E59" i="5"/>
  <c r="K58" i="5"/>
  <c r="F58" i="5"/>
  <c r="E58" i="5"/>
  <c r="K57" i="5"/>
  <c r="F57" i="5"/>
  <c r="E57" i="5"/>
  <c r="K56" i="5"/>
  <c r="F56" i="5"/>
  <c r="E56" i="5"/>
  <c r="K55" i="5"/>
  <c r="F55" i="5"/>
  <c r="E55" i="5"/>
  <c r="K54" i="5"/>
  <c r="F54" i="5"/>
  <c r="E54" i="5"/>
  <c r="K53" i="5"/>
  <c r="F53" i="5"/>
  <c r="E53" i="5"/>
  <c r="K52" i="5"/>
  <c r="F52" i="5"/>
  <c r="E52" i="5"/>
  <c r="K51" i="5"/>
  <c r="F51" i="5"/>
  <c r="E51" i="5"/>
  <c r="K50" i="5"/>
  <c r="F50" i="5"/>
  <c r="E50" i="5"/>
  <c r="K49" i="5"/>
  <c r="F49" i="5"/>
  <c r="E49" i="5"/>
  <c r="K48" i="5"/>
  <c r="F48" i="5"/>
  <c r="E48" i="5"/>
  <c r="K47" i="5"/>
  <c r="F47" i="5"/>
  <c r="E47" i="5"/>
  <c r="K46" i="5"/>
  <c r="F46" i="5"/>
  <c r="E46" i="5"/>
  <c r="K45" i="5"/>
  <c r="F45" i="5"/>
  <c r="E45" i="5"/>
  <c r="K44" i="5"/>
  <c r="F44" i="5"/>
  <c r="E44" i="5"/>
  <c r="K43" i="5"/>
  <c r="F43" i="5"/>
  <c r="E43" i="5"/>
  <c r="K42" i="5"/>
  <c r="F42" i="5"/>
  <c r="E42" i="5"/>
  <c r="K41" i="5"/>
  <c r="F41" i="5"/>
  <c r="E41" i="5"/>
  <c r="K40" i="5"/>
  <c r="F40" i="5"/>
  <c r="E40" i="5"/>
  <c r="K39" i="5"/>
  <c r="F39" i="5"/>
  <c r="E39" i="5"/>
  <c r="K38" i="5"/>
  <c r="F38" i="5"/>
  <c r="E38" i="5"/>
  <c r="K37" i="5"/>
  <c r="F37" i="5"/>
  <c r="E37" i="5"/>
  <c r="K36" i="5"/>
  <c r="F36" i="5"/>
  <c r="E36" i="5"/>
  <c r="K35" i="5"/>
  <c r="F35" i="5"/>
  <c r="E35" i="5"/>
  <c r="K34" i="5"/>
  <c r="F34" i="5"/>
  <c r="E34" i="5"/>
  <c r="K33" i="5"/>
  <c r="F33" i="5"/>
  <c r="E33" i="5"/>
  <c r="K32" i="5"/>
  <c r="F32" i="5"/>
  <c r="E32" i="5"/>
  <c r="K31" i="5"/>
  <c r="F31" i="5"/>
  <c r="E31" i="5"/>
  <c r="K30" i="5"/>
  <c r="F30" i="5"/>
  <c r="E30" i="5"/>
  <c r="K29" i="5"/>
  <c r="F29" i="5"/>
  <c r="E29" i="5"/>
  <c r="K28" i="5"/>
  <c r="F28" i="5"/>
  <c r="E28" i="5"/>
  <c r="K27" i="5"/>
  <c r="F27" i="5"/>
  <c r="E27" i="5"/>
  <c r="K26" i="5"/>
  <c r="F26" i="5"/>
  <c r="E26" i="5"/>
  <c r="K25" i="5"/>
  <c r="F25" i="5"/>
  <c r="E25" i="5"/>
  <c r="K24" i="5"/>
  <c r="F24" i="5"/>
  <c r="E24" i="5"/>
  <c r="K23" i="5"/>
  <c r="F23" i="5"/>
  <c r="E23" i="5"/>
  <c r="K22" i="5"/>
  <c r="F22" i="5"/>
  <c r="E22" i="5"/>
  <c r="K21" i="5"/>
  <c r="F21" i="5"/>
  <c r="E21" i="5"/>
  <c r="K20" i="5"/>
  <c r="F20" i="5"/>
  <c r="E20" i="5"/>
  <c r="K19" i="5"/>
  <c r="F19" i="5"/>
  <c r="E19" i="5"/>
  <c r="K18" i="5"/>
  <c r="F18" i="5"/>
  <c r="E18" i="5"/>
  <c r="K17" i="5"/>
  <c r="F17" i="5"/>
  <c r="E17" i="5"/>
  <c r="K16" i="5"/>
  <c r="F16" i="5"/>
  <c r="E16" i="5"/>
  <c r="K15" i="5"/>
  <c r="F15" i="5"/>
  <c r="E15" i="5"/>
  <c r="K14" i="5"/>
  <c r="F14" i="5"/>
  <c r="E14" i="5"/>
  <c r="K13" i="5"/>
  <c r="F13" i="5"/>
  <c r="E13" i="5"/>
  <c r="K12" i="5"/>
  <c r="F12" i="5"/>
  <c r="E12" i="5"/>
  <c r="K11" i="5"/>
  <c r="F11" i="5"/>
  <c r="E11" i="5"/>
  <c r="K10" i="5"/>
  <c r="F10" i="5"/>
  <c r="E10" i="5"/>
  <c r="K9" i="5"/>
  <c r="F9" i="5"/>
  <c r="E9" i="5"/>
  <c r="K8" i="5"/>
  <c r="F8" i="5"/>
  <c r="E8" i="5"/>
  <c r="K7" i="5"/>
  <c r="F7" i="5"/>
  <c r="E7" i="5"/>
  <c r="K6" i="5"/>
  <c r="F6" i="5"/>
  <c r="E6" i="5"/>
  <c r="K5" i="5"/>
  <c r="F5" i="5"/>
  <c r="E5" i="5"/>
  <c r="K4" i="5"/>
  <c r="F4" i="5"/>
  <c r="E4" i="5"/>
  <c r="K3" i="5"/>
  <c r="F3" i="5"/>
  <c r="E3" i="5"/>
  <c r="K2" i="5"/>
  <c r="F2" i="5"/>
  <c r="E2" i="5"/>
  <c r="C2" i="5" s="1"/>
  <c r="D2" i="5" s="1"/>
  <c r="D409" i="5" l="1"/>
  <c r="D410" i="5" s="1"/>
  <c r="D411" i="5" s="1"/>
  <c r="D412" i="5" s="1"/>
  <c r="C411" i="5"/>
  <c r="C412" i="5" s="1"/>
  <c r="D415" i="5"/>
  <c r="D416" i="5" s="1"/>
  <c r="D417" i="5" s="1"/>
  <c r="D418" i="5" s="1"/>
  <c r="C409" i="5"/>
  <c r="C410" i="5" s="1"/>
  <c r="D64" i="5"/>
  <c r="C65" i="5"/>
  <c r="C68" i="5"/>
  <c r="D117" i="5"/>
  <c r="C118" i="5"/>
  <c r="C66" i="5"/>
  <c r="D66" i="5" s="1"/>
  <c r="C4" i="5"/>
  <c r="D65" i="5"/>
  <c r="D118" i="5"/>
  <c r="C3" i="5"/>
  <c r="D3" i="5" s="1"/>
  <c r="C7" i="5"/>
  <c r="D7" i="5" s="1"/>
  <c r="C67" i="5"/>
  <c r="D67" i="5" s="1"/>
  <c r="C119" i="5"/>
  <c r="D119" i="5" s="1"/>
  <c r="C202" i="5"/>
  <c r="C264" i="5"/>
  <c r="D339" i="5"/>
  <c r="C360" i="5"/>
  <c r="D371" i="5"/>
  <c r="C406" i="5"/>
  <c r="D406" i="5" s="1"/>
  <c r="C405" i="5"/>
  <c r="D405" i="5" s="1"/>
  <c r="D338" i="5"/>
  <c r="C340" i="5"/>
  <c r="D370" i="5"/>
  <c r="C372" i="5"/>
  <c r="C373" i="5" l="1"/>
  <c r="D372" i="5"/>
  <c r="D4" i="5"/>
  <c r="C5" i="5"/>
  <c r="C265" i="5"/>
  <c r="D264" i="5"/>
  <c r="C341" i="5"/>
  <c r="D340" i="5"/>
  <c r="C361" i="5"/>
  <c r="D360" i="5"/>
  <c r="D68" i="5"/>
  <c r="C69" i="5"/>
  <c r="C203" i="5"/>
  <c r="D202" i="5"/>
  <c r="C120" i="5"/>
  <c r="C8" i="5"/>
  <c r="C70" i="5" l="1"/>
  <c r="C71" i="5" s="1"/>
  <c r="D69" i="5"/>
  <c r="D70" i="5" s="1"/>
  <c r="D8" i="5"/>
  <c r="C9" i="5"/>
  <c r="C6" i="5"/>
  <c r="D5" i="5"/>
  <c r="D6" i="5" s="1"/>
  <c r="D120" i="5"/>
  <c r="C121" i="5"/>
  <c r="D341" i="5"/>
  <c r="C342" i="5"/>
  <c r="C204" i="5"/>
  <c r="D203" i="5"/>
  <c r="D361" i="5"/>
  <c r="C362" i="5"/>
  <c r="C266" i="5"/>
  <c r="D265" i="5"/>
  <c r="C374" i="5"/>
  <c r="D373" i="5"/>
  <c r="D71" i="5" l="1"/>
  <c r="C72" i="5"/>
  <c r="C122" i="5"/>
  <c r="D121" i="5"/>
  <c r="D266" i="5"/>
  <c r="C267" i="5"/>
  <c r="D204" i="5"/>
  <c r="C205" i="5"/>
  <c r="D9" i="5"/>
  <c r="C10" i="5"/>
  <c r="C363" i="5"/>
  <c r="D362" i="5"/>
  <c r="C343" i="5"/>
  <c r="D342" i="5"/>
  <c r="D374" i="5"/>
  <c r="C375" i="5"/>
  <c r="C376" i="5" l="1"/>
  <c r="D375" i="5"/>
  <c r="C206" i="5"/>
  <c r="D205" i="5"/>
  <c r="C364" i="5"/>
  <c r="D363" i="5"/>
  <c r="C123" i="5"/>
  <c r="D122" i="5"/>
  <c r="C11" i="5"/>
  <c r="D10" i="5"/>
  <c r="C268" i="5"/>
  <c r="D267" i="5"/>
  <c r="C73" i="5"/>
  <c r="D72" i="5"/>
  <c r="C344" i="5"/>
  <c r="D343" i="5"/>
  <c r="C74" i="5" l="1"/>
  <c r="D73" i="5"/>
  <c r="D11" i="5"/>
  <c r="C12" i="5"/>
  <c r="C377" i="5"/>
  <c r="D376" i="5"/>
  <c r="C345" i="5"/>
  <c r="D344" i="5"/>
  <c r="C269" i="5"/>
  <c r="D268" i="5"/>
  <c r="C124" i="5"/>
  <c r="C125" i="5" s="1"/>
  <c r="D123" i="5"/>
  <c r="D124" i="5" s="1"/>
  <c r="D206" i="5"/>
  <c r="C207" i="5"/>
  <c r="C365" i="5"/>
  <c r="D364" i="5"/>
  <c r="C270" i="5" l="1"/>
  <c r="D269" i="5"/>
  <c r="C378" i="5"/>
  <c r="D377" i="5"/>
  <c r="D74" i="5"/>
  <c r="C75" i="5"/>
  <c r="C13" i="5"/>
  <c r="C14" i="5" s="1"/>
  <c r="D12" i="5"/>
  <c r="D13" i="5" s="1"/>
  <c r="D365" i="5"/>
  <c r="C366" i="5"/>
  <c r="C126" i="5"/>
  <c r="D125" i="5"/>
  <c r="D345" i="5"/>
  <c r="C346" i="5"/>
  <c r="D207" i="5"/>
  <c r="C208" i="5"/>
  <c r="D346" i="5" l="1"/>
  <c r="C347" i="5"/>
  <c r="D75" i="5"/>
  <c r="C76" i="5"/>
  <c r="D208" i="5"/>
  <c r="C209" i="5"/>
  <c r="D126" i="5"/>
  <c r="C127" i="5"/>
  <c r="D14" i="5"/>
  <c r="C15" i="5"/>
  <c r="C379" i="5"/>
  <c r="D378" i="5"/>
  <c r="D366" i="5"/>
  <c r="D367" i="5" s="1"/>
  <c r="D368" i="5" s="1"/>
  <c r="D369" i="5" s="1"/>
  <c r="C367" i="5"/>
  <c r="C368" i="5" s="1"/>
  <c r="C369" i="5" s="1"/>
  <c r="C271" i="5"/>
  <c r="D270" i="5"/>
  <c r="D15" i="5" l="1"/>
  <c r="C16" i="5"/>
  <c r="D209" i="5"/>
  <c r="D210" i="5" s="1"/>
  <c r="C210" i="5"/>
  <c r="C211" i="5" s="1"/>
  <c r="D127" i="5"/>
  <c r="C128" i="5"/>
  <c r="D76" i="5"/>
  <c r="D77" i="5" s="1"/>
  <c r="D78" i="5" s="1"/>
  <c r="D79" i="5" s="1"/>
  <c r="D80" i="5" s="1"/>
  <c r="C77" i="5"/>
  <c r="C78" i="5" s="1"/>
  <c r="C79" i="5" s="1"/>
  <c r="C80" i="5" s="1"/>
  <c r="C81" i="5" s="1"/>
  <c r="D271" i="5"/>
  <c r="C272" i="5"/>
  <c r="C380" i="5"/>
  <c r="D379" i="5"/>
  <c r="D347" i="5"/>
  <c r="C348" i="5"/>
  <c r="D272" i="5" l="1"/>
  <c r="C273" i="5"/>
  <c r="C82" i="5"/>
  <c r="D81" i="5"/>
  <c r="C212" i="5"/>
  <c r="D211" i="5"/>
  <c r="C381" i="5"/>
  <c r="D380" i="5"/>
  <c r="C349" i="5"/>
  <c r="C350" i="5" s="1"/>
  <c r="C351" i="5" s="1"/>
  <c r="C352" i="5" s="1"/>
  <c r="D348" i="5"/>
  <c r="D349" i="5" s="1"/>
  <c r="D350" i="5" s="1"/>
  <c r="D351" i="5" s="1"/>
  <c r="D128" i="5"/>
  <c r="C129" i="5"/>
  <c r="C17" i="5"/>
  <c r="D16" i="5"/>
  <c r="D273" i="5" l="1"/>
  <c r="C274" i="5"/>
  <c r="C18" i="5"/>
  <c r="D17" i="5"/>
  <c r="C353" i="5"/>
  <c r="D352" i="5"/>
  <c r="C213" i="5"/>
  <c r="D212" i="5"/>
  <c r="C130" i="5"/>
  <c r="D129" i="5"/>
  <c r="D381" i="5"/>
  <c r="C382" i="5"/>
  <c r="C83" i="5"/>
  <c r="D82" i="5"/>
  <c r="D274" i="5" l="1"/>
  <c r="C275" i="5"/>
  <c r="C383" i="5"/>
  <c r="D382" i="5"/>
  <c r="C214" i="5"/>
  <c r="D213" i="5"/>
  <c r="C19" i="5"/>
  <c r="D18" i="5"/>
  <c r="D83" i="5"/>
  <c r="C84" i="5"/>
  <c r="C131" i="5"/>
  <c r="C132" i="5" s="1"/>
  <c r="C133" i="5" s="1"/>
  <c r="C134" i="5" s="1"/>
  <c r="D130" i="5"/>
  <c r="D131" i="5" s="1"/>
  <c r="D132" i="5" s="1"/>
  <c r="D133" i="5" s="1"/>
  <c r="C354" i="5"/>
  <c r="D353" i="5"/>
  <c r="C85" i="5" l="1"/>
  <c r="D84" i="5"/>
  <c r="C276" i="5"/>
  <c r="C277" i="5" s="1"/>
  <c r="D275" i="5"/>
  <c r="D276" i="5" s="1"/>
  <c r="C355" i="5"/>
  <c r="D354" i="5"/>
  <c r="D214" i="5"/>
  <c r="C215" i="5"/>
  <c r="D134" i="5"/>
  <c r="C135" i="5"/>
  <c r="D19" i="5"/>
  <c r="C20" i="5"/>
  <c r="C384" i="5"/>
  <c r="D383" i="5"/>
  <c r="D135" i="5" l="1"/>
  <c r="D136" i="5" s="1"/>
  <c r="D137" i="5" s="1"/>
  <c r="D138" i="5" s="1"/>
  <c r="D139" i="5" s="1"/>
  <c r="D140" i="5" s="1"/>
  <c r="C136" i="5"/>
  <c r="C137" i="5" s="1"/>
  <c r="C138" i="5" s="1"/>
  <c r="C139" i="5" s="1"/>
  <c r="C140" i="5" s="1"/>
  <c r="C141" i="5" s="1"/>
  <c r="D20" i="5"/>
  <c r="D21" i="5" s="1"/>
  <c r="C21" i="5"/>
  <c r="C22" i="5" s="1"/>
  <c r="D215" i="5"/>
  <c r="C216" i="5"/>
  <c r="C278" i="5"/>
  <c r="D277" i="5"/>
  <c r="C385" i="5"/>
  <c r="D384" i="5"/>
  <c r="C356" i="5"/>
  <c r="C357" i="5" s="1"/>
  <c r="D355" i="5"/>
  <c r="D356" i="5" s="1"/>
  <c r="D85" i="5"/>
  <c r="C86" i="5"/>
  <c r="C87" i="5" l="1"/>
  <c r="D86" i="5"/>
  <c r="C217" i="5"/>
  <c r="D216" i="5"/>
  <c r="D385" i="5"/>
  <c r="C386" i="5"/>
  <c r="C23" i="5"/>
  <c r="D22" i="5"/>
  <c r="D357" i="5"/>
  <c r="C358" i="5"/>
  <c r="D358" i="5" s="1"/>
  <c r="D278" i="5"/>
  <c r="C279" i="5"/>
  <c r="C142" i="5"/>
  <c r="D141" i="5"/>
  <c r="D386" i="5" l="1"/>
  <c r="C387" i="5"/>
  <c r="D279" i="5"/>
  <c r="C280" i="5"/>
  <c r="D23" i="5"/>
  <c r="C24" i="5"/>
  <c r="D217" i="5"/>
  <c r="C218" i="5"/>
  <c r="D142" i="5"/>
  <c r="C143" i="5"/>
  <c r="D87" i="5"/>
  <c r="C88" i="5"/>
  <c r="D143" i="5" l="1"/>
  <c r="C144" i="5"/>
  <c r="C25" i="5"/>
  <c r="D24" i="5"/>
  <c r="D387" i="5"/>
  <c r="C388" i="5"/>
  <c r="C89" i="5"/>
  <c r="D88" i="5"/>
  <c r="C219" i="5"/>
  <c r="D218" i="5"/>
  <c r="C281" i="5"/>
  <c r="C282" i="5" s="1"/>
  <c r="D280" i="5"/>
  <c r="D281" i="5" s="1"/>
  <c r="C283" i="5" l="1"/>
  <c r="D282" i="5"/>
  <c r="D89" i="5"/>
  <c r="C90" i="5"/>
  <c r="D25" i="5"/>
  <c r="C26" i="5"/>
  <c r="C389" i="5"/>
  <c r="C390" i="5" s="1"/>
  <c r="D388" i="5"/>
  <c r="D389" i="5" s="1"/>
  <c r="C145" i="5"/>
  <c r="D144" i="5"/>
  <c r="C220" i="5"/>
  <c r="D219" i="5"/>
  <c r="D220" i="5" l="1"/>
  <c r="C221" i="5"/>
  <c r="D390" i="5"/>
  <c r="C391" i="5"/>
  <c r="D26" i="5"/>
  <c r="C27" i="5"/>
  <c r="D90" i="5"/>
  <c r="C91" i="5"/>
  <c r="D145" i="5"/>
  <c r="C146" i="5"/>
  <c r="D283" i="5"/>
  <c r="C284" i="5"/>
  <c r="C285" i="5" l="1"/>
  <c r="D284" i="5"/>
  <c r="C392" i="5"/>
  <c r="D391" i="5"/>
  <c r="D91" i="5"/>
  <c r="C92" i="5"/>
  <c r="C147" i="5"/>
  <c r="D146" i="5"/>
  <c r="D27" i="5"/>
  <c r="C28" i="5"/>
  <c r="C222" i="5"/>
  <c r="C223" i="5" s="1"/>
  <c r="C224" i="5" s="1"/>
  <c r="C225" i="5" s="1"/>
  <c r="C226" i="5" s="1"/>
  <c r="C227" i="5" s="1"/>
  <c r="C228" i="5" s="1"/>
  <c r="C229" i="5" s="1"/>
  <c r="C230" i="5" s="1"/>
  <c r="C231" i="5" s="1"/>
  <c r="C232" i="5" s="1"/>
  <c r="C233" i="5" s="1"/>
  <c r="D221" i="5"/>
  <c r="D222" i="5" s="1"/>
  <c r="D223" i="5" s="1"/>
  <c r="D224" i="5" s="1"/>
  <c r="D225" i="5" s="1"/>
  <c r="D226" i="5" s="1"/>
  <c r="D227" i="5" s="1"/>
  <c r="D228" i="5" s="1"/>
  <c r="D229" i="5" s="1"/>
  <c r="D230" i="5" s="1"/>
  <c r="D231" i="5" s="1"/>
  <c r="D232" i="5" s="1"/>
  <c r="C393" i="5" l="1"/>
  <c r="D392" i="5"/>
  <c r="D233" i="5"/>
  <c r="C234" i="5"/>
  <c r="C29" i="5"/>
  <c r="D28" i="5"/>
  <c r="D92" i="5"/>
  <c r="C93" i="5"/>
  <c r="D147" i="5"/>
  <c r="C148" i="5"/>
  <c r="C286" i="5"/>
  <c r="D285" i="5"/>
  <c r="C395" i="5" l="1"/>
  <c r="D393" i="5"/>
  <c r="C94" i="5"/>
  <c r="D93" i="5"/>
  <c r="C235" i="5"/>
  <c r="D234" i="5"/>
  <c r="C287" i="5"/>
  <c r="D286" i="5"/>
  <c r="C30" i="5"/>
  <c r="D29" i="5"/>
  <c r="C149" i="5"/>
  <c r="D148" i="5"/>
  <c r="C31" i="5" l="1"/>
  <c r="D30" i="5"/>
  <c r="C236" i="5"/>
  <c r="D235" i="5"/>
  <c r="D149" i="5"/>
  <c r="C150" i="5"/>
  <c r="D287" i="5"/>
  <c r="C288" i="5"/>
  <c r="D94" i="5"/>
  <c r="C95" i="5"/>
  <c r="D395" i="5"/>
  <c r="C396" i="5"/>
  <c r="D95" i="5" l="1"/>
  <c r="C96" i="5"/>
  <c r="C151" i="5"/>
  <c r="D150" i="5"/>
  <c r="C397" i="5"/>
  <c r="D396" i="5"/>
  <c r="C289" i="5"/>
  <c r="D288" i="5"/>
  <c r="C237" i="5"/>
  <c r="D236" i="5"/>
  <c r="D31" i="5"/>
  <c r="C32" i="5"/>
  <c r="C238" i="5" l="1"/>
  <c r="D237" i="5"/>
  <c r="C398" i="5"/>
  <c r="D397" i="5"/>
  <c r="C33" i="5"/>
  <c r="D32" i="5"/>
  <c r="D289" i="5"/>
  <c r="C290" i="5"/>
  <c r="D151" i="5"/>
  <c r="C152" i="5"/>
  <c r="C97" i="5"/>
  <c r="D96" i="5"/>
  <c r="C153" i="5" l="1"/>
  <c r="D152" i="5"/>
  <c r="C291" i="5"/>
  <c r="C292" i="5" s="1"/>
  <c r="C293" i="5" s="1"/>
  <c r="C294" i="5" s="1"/>
  <c r="C295" i="5" s="1"/>
  <c r="C296" i="5" s="1"/>
  <c r="C297" i="5" s="1"/>
  <c r="C298" i="5" s="1"/>
  <c r="C299" i="5" s="1"/>
  <c r="C300" i="5" s="1"/>
  <c r="D290" i="5"/>
  <c r="D291" i="5" s="1"/>
  <c r="D292" i="5" s="1"/>
  <c r="D293" i="5" s="1"/>
  <c r="D294" i="5" s="1"/>
  <c r="D295" i="5" s="1"/>
  <c r="D296" i="5" s="1"/>
  <c r="D297" i="5" s="1"/>
  <c r="D298" i="5" s="1"/>
  <c r="D299" i="5" s="1"/>
  <c r="D97" i="5"/>
  <c r="C98" i="5"/>
  <c r="C399" i="5"/>
  <c r="D398" i="5"/>
  <c r="C34" i="5"/>
  <c r="C35" i="5" s="1"/>
  <c r="D33" i="5"/>
  <c r="D34" i="5" s="1"/>
  <c r="C239" i="5"/>
  <c r="D238" i="5"/>
  <c r="C99" i="5" l="1"/>
  <c r="D98" i="5"/>
  <c r="D35" i="5"/>
  <c r="C36" i="5"/>
  <c r="D153" i="5"/>
  <c r="C154" i="5"/>
  <c r="D239" i="5"/>
  <c r="D240" i="5" s="1"/>
  <c r="D241" i="5" s="1"/>
  <c r="D242" i="5" s="1"/>
  <c r="C240" i="5"/>
  <c r="C241" i="5" s="1"/>
  <c r="C242" i="5" s="1"/>
  <c r="C243" i="5" s="1"/>
  <c r="C400" i="5"/>
  <c r="D399" i="5"/>
  <c r="C301" i="5"/>
  <c r="D300" i="5"/>
  <c r="D400" i="5" l="1"/>
  <c r="D401" i="5" s="1"/>
  <c r="C401" i="5"/>
  <c r="C244" i="5"/>
  <c r="D243" i="5"/>
  <c r="D36" i="5"/>
  <c r="C37" i="5"/>
  <c r="C302" i="5"/>
  <c r="D301" i="5"/>
  <c r="D154" i="5"/>
  <c r="C155" i="5"/>
  <c r="D99" i="5"/>
  <c r="C100" i="5"/>
  <c r="D155" i="5" l="1"/>
  <c r="C156" i="5"/>
  <c r="D37" i="5"/>
  <c r="C38" i="5"/>
  <c r="C101" i="5"/>
  <c r="D100" i="5"/>
  <c r="C303" i="5"/>
  <c r="D302" i="5"/>
  <c r="C245" i="5"/>
  <c r="D244" i="5"/>
  <c r="D245" i="5" l="1"/>
  <c r="C246" i="5"/>
  <c r="D101" i="5"/>
  <c r="C102" i="5"/>
  <c r="D38" i="5"/>
  <c r="C39" i="5"/>
  <c r="C304" i="5"/>
  <c r="D303" i="5"/>
  <c r="C157" i="5"/>
  <c r="D156" i="5"/>
  <c r="D157" i="5" l="1"/>
  <c r="C158" i="5"/>
  <c r="D102" i="5"/>
  <c r="C103" i="5"/>
  <c r="C305" i="5"/>
  <c r="D304" i="5"/>
  <c r="D39" i="5"/>
  <c r="C40" i="5"/>
  <c r="D246" i="5"/>
  <c r="C247" i="5"/>
  <c r="D247" i="5" l="1"/>
  <c r="C248" i="5"/>
  <c r="D158" i="5"/>
  <c r="C159" i="5"/>
  <c r="D305" i="5"/>
  <c r="C306" i="5"/>
  <c r="D40" i="5"/>
  <c r="C41" i="5"/>
  <c r="D103" i="5"/>
  <c r="C104" i="5"/>
  <c r="D104" i="5" l="1"/>
  <c r="C105" i="5"/>
  <c r="C307" i="5"/>
  <c r="D306" i="5"/>
  <c r="C249" i="5"/>
  <c r="D248" i="5"/>
  <c r="C42" i="5"/>
  <c r="D41" i="5"/>
  <c r="D159" i="5"/>
  <c r="C160" i="5"/>
  <c r="C161" i="5" l="1"/>
  <c r="D160" i="5"/>
  <c r="D105" i="5"/>
  <c r="C106" i="5"/>
  <c r="C250" i="5"/>
  <c r="D249" i="5"/>
  <c r="D42" i="5"/>
  <c r="C43" i="5"/>
  <c r="C308" i="5"/>
  <c r="D307" i="5"/>
  <c r="D106" i="5" l="1"/>
  <c r="C107" i="5"/>
  <c r="D43" i="5"/>
  <c r="C44" i="5"/>
  <c r="C309" i="5"/>
  <c r="D308" i="5"/>
  <c r="D250" i="5"/>
  <c r="C251" i="5"/>
  <c r="D161" i="5"/>
  <c r="D162" i="5" s="1"/>
  <c r="C162" i="5"/>
  <c r="C163" i="5" s="1"/>
  <c r="D163" i="5" l="1"/>
  <c r="C164" i="5"/>
  <c r="D107" i="5"/>
  <c r="C108" i="5"/>
  <c r="D309" i="5"/>
  <c r="D310" i="5" s="1"/>
  <c r="C310" i="5"/>
  <c r="C311" i="5" s="1"/>
  <c r="D251" i="5"/>
  <c r="C252" i="5"/>
  <c r="C45" i="5"/>
  <c r="D44" i="5"/>
  <c r="D311" i="5" l="1"/>
  <c r="C312" i="5"/>
  <c r="C165" i="5"/>
  <c r="D164" i="5"/>
  <c r="C46" i="5"/>
  <c r="D45" i="5"/>
  <c r="C253" i="5"/>
  <c r="D252" i="5"/>
  <c r="C109" i="5"/>
  <c r="D108" i="5"/>
  <c r="D165" i="5" l="1"/>
  <c r="C166" i="5"/>
  <c r="C110" i="5"/>
  <c r="D109" i="5"/>
  <c r="C47" i="5"/>
  <c r="D46" i="5"/>
  <c r="D253" i="5"/>
  <c r="C254" i="5"/>
  <c r="C313" i="5"/>
  <c r="D312" i="5"/>
  <c r="C111" i="5" l="1"/>
  <c r="D110" i="5"/>
  <c r="C314" i="5"/>
  <c r="D313" i="5"/>
  <c r="D47" i="5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C48" i="5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255" i="5"/>
  <c r="D254" i="5"/>
  <c r="D166" i="5"/>
  <c r="C167" i="5"/>
  <c r="D111" i="5" l="1"/>
  <c r="C112" i="5"/>
  <c r="C256" i="5"/>
  <c r="D255" i="5"/>
  <c r="D314" i="5"/>
  <c r="C315" i="5"/>
  <c r="D167" i="5"/>
  <c r="C168" i="5"/>
  <c r="C169" i="5" l="1"/>
  <c r="D168" i="5"/>
  <c r="C257" i="5"/>
  <c r="D256" i="5"/>
  <c r="D112" i="5"/>
  <c r="C113" i="5"/>
  <c r="C316" i="5"/>
  <c r="D315" i="5"/>
  <c r="C317" i="5" l="1"/>
  <c r="D316" i="5"/>
  <c r="D257" i="5"/>
  <c r="C258" i="5"/>
  <c r="D113" i="5"/>
  <c r="C114" i="5"/>
  <c r="D169" i="5"/>
  <c r="C170" i="5"/>
  <c r="C171" i="5" l="1"/>
  <c r="D170" i="5"/>
  <c r="D114" i="5"/>
  <c r="D115" i="5" s="1"/>
  <c r="D116" i="5" s="1"/>
  <c r="C115" i="5"/>
  <c r="C116" i="5" s="1"/>
  <c r="D258" i="5"/>
  <c r="C259" i="5"/>
  <c r="C318" i="5"/>
  <c r="D317" i="5"/>
  <c r="C260" i="5" l="1"/>
  <c r="D259" i="5"/>
  <c r="C319" i="5"/>
  <c r="D318" i="5"/>
  <c r="C172" i="5"/>
  <c r="D171" i="5"/>
  <c r="C320" i="5" l="1"/>
  <c r="D319" i="5"/>
  <c r="D172" i="5"/>
  <c r="C173" i="5"/>
  <c r="C261" i="5"/>
  <c r="D260" i="5"/>
  <c r="D173" i="5" l="1"/>
  <c r="C174" i="5"/>
  <c r="C262" i="5"/>
  <c r="D261" i="5"/>
  <c r="C321" i="5"/>
  <c r="D320" i="5"/>
  <c r="D262" i="5" l="1"/>
  <c r="C263" i="5"/>
  <c r="D263" i="5" s="1"/>
  <c r="D174" i="5"/>
  <c r="C175" i="5"/>
  <c r="D321" i="5"/>
  <c r="C322" i="5"/>
  <c r="C176" i="5" l="1"/>
  <c r="D175" i="5"/>
  <c r="C323" i="5"/>
  <c r="D322" i="5"/>
  <c r="C324" i="5" l="1"/>
  <c r="D323" i="5"/>
  <c r="C177" i="5"/>
  <c r="D176" i="5"/>
  <c r="C178" i="5" l="1"/>
  <c r="D177" i="5"/>
  <c r="C325" i="5"/>
  <c r="D324" i="5"/>
  <c r="D325" i="5" l="1"/>
  <c r="C326" i="5"/>
  <c r="C179" i="5"/>
  <c r="D178" i="5"/>
  <c r="C180" i="5" l="1"/>
  <c r="D179" i="5"/>
  <c r="D326" i="5"/>
  <c r="C327" i="5"/>
  <c r="D327" i="5" l="1"/>
  <c r="C328" i="5"/>
  <c r="D180" i="5"/>
  <c r="C181" i="5"/>
  <c r="C182" i="5" l="1"/>
  <c r="D181" i="5"/>
  <c r="C329" i="5"/>
  <c r="D328" i="5"/>
  <c r="C330" i="5" l="1"/>
  <c r="D329" i="5"/>
  <c r="D182" i="5"/>
  <c r="C183" i="5"/>
  <c r="Z231" i="4"/>
  <c r="X230" i="4"/>
  <c r="AT233" i="4" s="1"/>
  <c r="AF221" i="4"/>
  <c r="AD221" i="4"/>
  <c r="AC221" i="4"/>
  <c r="AA221" i="4"/>
  <c r="Z221" i="4"/>
  <c r="X221" i="4"/>
  <c r="J221" i="4"/>
  <c r="H221" i="4"/>
  <c r="G221" i="4"/>
  <c r="E221" i="4"/>
  <c r="D221" i="4"/>
  <c r="B221" i="4"/>
  <c r="AF220" i="4"/>
  <c r="AD220" i="4"/>
  <c r="AC220" i="4"/>
  <c r="AA220" i="4"/>
  <c r="Z220" i="4"/>
  <c r="X220" i="4"/>
  <c r="J220" i="4"/>
  <c r="H220" i="4"/>
  <c r="G220" i="4"/>
  <c r="E220" i="4"/>
  <c r="D220" i="4"/>
  <c r="B220" i="4"/>
  <c r="AF219" i="4"/>
  <c r="AF222" i="4" s="1"/>
  <c r="AD219" i="4"/>
  <c r="AD222" i="4" s="1"/>
  <c r="AC219" i="4"/>
  <c r="AC222" i="4" s="1"/>
  <c r="AA219" i="4"/>
  <c r="AA222" i="4" s="1"/>
  <c r="Z219" i="4"/>
  <c r="Z222" i="4" s="1"/>
  <c r="X219" i="4"/>
  <c r="X222" i="4" s="1"/>
  <c r="J219" i="4"/>
  <c r="J222" i="4" s="1"/>
  <c r="H219" i="4"/>
  <c r="H222" i="4" s="1"/>
  <c r="G219" i="4"/>
  <c r="G222" i="4" s="1"/>
  <c r="E219" i="4"/>
  <c r="E222" i="4" s="1"/>
  <c r="D219" i="4"/>
  <c r="D222" i="4" s="1"/>
  <c r="B219" i="4"/>
  <c r="B222" i="4" s="1"/>
  <c r="V195" i="4"/>
  <c r="A174" i="4"/>
  <c r="AF161" i="4"/>
  <c r="AD161" i="4"/>
  <c r="AC161" i="4"/>
  <c r="AA161" i="4"/>
  <c r="X161" i="4"/>
  <c r="W161" i="4"/>
  <c r="U161" i="4"/>
  <c r="T161" i="4"/>
  <c r="R161" i="4"/>
  <c r="Q161" i="4"/>
  <c r="O161" i="4"/>
  <c r="N161" i="4"/>
  <c r="L161" i="4"/>
  <c r="J161" i="4"/>
  <c r="H161" i="4"/>
  <c r="G161" i="4"/>
  <c r="E161" i="4"/>
  <c r="D161" i="4"/>
  <c r="B161" i="4"/>
  <c r="AF160" i="4"/>
  <c r="AD160" i="4"/>
  <c r="AA160" i="4"/>
  <c r="Z160" i="4"/>
  <c r="X160" i="4"/>
  <c r="W160" i="4"/>
  <c r="U160" i="4"/>
  <c r="T160" i="4"/>
  <c r="R160" i="4"/>
  <c r="Q160" i="4"/>
  <c r="O160" i="4"/>
  <c r="N160" i="4"/>
  <c r="L160" i="4"/>
  <c r="J160" i="4"/>
  <c r="H160" i="4"/>
  <c r="G160" i="4"/>
  <c r="E160" i="4"/>
  <c r="D160" i="4"/>
  <c r="B160" i="4"/>
  <c r="AF159" i="4"/>
  <c r="AD159" i="4"/>
  <c r="AC159" i="4"/>
  <c r="Z159" i="4"/>
  <c r="X159" i="4"/>
  <c r="U159" i="4"/>
  <c r="T159" i="4"/>
  <c r="R159" i="4"/>
  <c r="O159" i="4"/>
  <c r="L159" i="4"/>
  <c r="J159" i="4"/>
  <c r="H159" i="4"/>
  <c r="E159" i="4"/>
  <c r="B159" i="4"/>
  <c r="AD158" i="4"/>
  <c r="AC158" i="4"/>
  <c r="AA158" i="4"/>
  <c r="Z158" i="4"/>
  <c r="X158" i="4"/>
  <c r="W158" i="4"/>
  <c r="R158" i="4"/>
  <c r="Q158" i="4"/>
  <c r="N158" i="4"/>
  <c r="L158" i="4"/>
  <c r="H158" i="4"/>
  <c r="G158" i="4"/>
  <c r="D158" i="4"/>
  <c r="B158" i="4"/>
  <c r="AF157" i="4"/>
  <c r="AC157" i="4"/>
  <c r="AA157" i="4"/>
  <c r="Z157" i="4"/>
  <c r="W157" i="4"/>
  <c r="U157" i="4"/>
  <c r="T157" i="4"/>
  <c r="Q157" i="4"/>
  <c r="O157" i="4"/>
  <c r="N157" i="4"/>
  <c r="J157" i="4"/>
  <c r="G157" i="4"/>
  <c r="E157" i="4"/>
  <c r="D157" i="4"/>
  <c r="AF153" i="4"/>
  <c r="AD153" i="4"/>
  <c r="AC153" i="4"/>
  <c r="AA153" i="4"/>
  <c r="X153" i="4"/>
  <c r="W153" i="4"/>
  <c r="U153" i="4"/>
  <c r="T153" i="4"/>
  <c r="R153" i="4"/>
  <c r="Q153" i="4"/>
  <c r="O153" i="4"/>
  <c r="N153" i="4"/>
  <c r="L153" i="4"/>
  <c r="J153" i="4"/>
  <c r="H153" i="4"/>
  <c r="G153" i="4"/>
  <c r="E153" i="4"/>
  <c r="D153" i="4"/>
  <c r="B153" i="4"/>
  <c r="AF152" i="4"/>
  <c r="AD152" i="4"/>
  <c r="AA152" i="4"/>
  <c r="Z152" i="4"/>
  <c r="X152" i="4"/>
  <c r="W152" i="4"/>
  <c r="U152" i="4"/>
  <c r="T152" i="4"/>
  <c r="R152" i="4"/>
  <c r="Q152" i="4"/>
  <c r="O152" i="4"/>
  <c r="N152" i="4"/>
  <c r="L152" i="4"/>
  <c r="J152" i="4"/>
  <c r="H152" i="4"/>
  <c r="G152" i="4"/>
  <c r="E152" i="4"/>
  <c r="D152" i="4"/>
  <c r="B152" i="4"/>
  <c r="AF151" i="4"/>
  <c r="AD151" i="4"/>
  <c r="AC151" i="4"/>
  <c r="Z151" i="4"/>
  <c r="X151" i="4"/>
  <c r="U151" i="4"/>
  <c r="T151" i="4"/>
  <c r="R151" i="4"/>
  <c r="O151" i="4"/>
  <c r="L151" i="4"/>
  <c r="J151" i="4"/>
  <c r="H151" i="4"/>
  <c r="E151" i="4"/>
  <c r="B151" i="4"/>
  <c r="AD150" i="4"/>
  <c r="AC150" i="4"/>
  <c r="AA150" i="4"/>
  <c r="Z150" i="4"/>
  <c r="X150" i="4"/>
  <c r="W150" i="4"/>
  <c r="R150" i="4"/>
  <c r="Q150" i="4"/>
  <c r="N150" i="4"/>
  <c r="L150" i="4"/>
  <c r="H150" i="4"/>
  <c r="G150" i="4"/>
  <c r="D150" i="4"/>
  <c r="B150" i="4"/>
  <c r="AF149" i="4"/>
  <c r="AC149" i="4"/>
  <c r="AA149" i="4"/>
  <c r="Z149" i="4"/>
  <c r="W149" i="4"/>
  <c r="U149" i="4"/>
  <c r="T149" i="4"/>
  <c r="Q149" i="4"/>
  <c r="O149" i="4"/>
  <c r="N149" i="4"/>
  <c r="J149" i="4"/>
  <c r="G149" i="4"/>
  <c r="E149" i="4"/>
  <c r="D149" i="4"/>
  <c r="AF147" i="4"/>
  <c r="AD147" i="4"/>
  <c r="AC147" i="4"/>
  <c r="AA147" i="4"/>
  <c r="X147" i="4"/>
  <c r="W147" i="4"/>
  <c r="U147" i="4"/>
  <c r="T147" i="4"/>
  <c r="R147" i="4"/>
  <c r="Q147" i="4"/>
  <c r="O147" i="4"/>
  <c r="N147" i="4"/>
  <c r="L147" i="4"/>
  <c r="J147" i="4"/>
  <c r="H147" i="4"/>
  <c r="G147" i="4"/>
  <c r="E147" i="4"/>
  <c r="D147" i="4"/>
  <c r="B147" i="4"/>
  <c r="AF146" i="4"/>
  <c r="AD146" i="4"/>
  <c r="AA146" i="4"/>
  <c r="Z146" i="4"/>
  <c r="X146" i="4"/>
  <c r="W146" i="4"/>
  <c r="U146" i="4"/>
  <c r="T146" i="4"/>
  <c r="R146" i="4"/>
  <c r="Q146" i="4"/>
  <c r="O146" i="4"/>
  <c r="N146" i="4"/>
  <c r="L146" i="4"/>
  <c r="J146" i="4"/>
  <c r="H146" i="4"/>
  <c r="G146" i="4"/>
  <c r="E146" i="4"/>
  <c r="D146" i="4"/>
  <c r="B146" i="4"/>
  <c r="AF145" i="4"/>
  <c r="AD145" i="4"/>
  <c r="AC145" i="4"/>
  <c r="Z145" i="4"/>
  <c r="X145" i="4"/>
  <c r="U145" i="4"/>
  <c r="T145" i="4"/>
  <c r="R145" i="4"/>
  <c r="O145" i="4"/>
  <c r="L145" i="4"/>
  <c r="J145" i="4"/>
  <c r="H145" i="4"/>
  <c r="E145" i="4"/>
  <c r="B145" i="4"/>
  <c r="AD144" i="4"/>
  <c r="AC144" i="4"/>
  <c r="AA144" i="4"/>
  <c r="Z144" i="4"/>
  <c r="X144" i="4"/>
  <c r="W144" i="4"/>
  <c r="R144" i="4"/>
  <c r="Q144" i="4"/>
  <c r="N144" i="4"/>
  <c r="L144" i="4"/>
  <c r="H144" i="4"/>
  <c r="G144" i="4"/>
  <c r="D144" i="4"/>
  <c r="B144" i="4"/>
  <c r="AF143" i="4"/>
  <c r="AC143" i="4"/>
  <c r="AA143" i="4"/>
  <c r="Z143" i="4"/>
  <c r="W143" i="4"/>
  <c r="U143" i="4"/>
  <c r="T143" i="4"/>
  <c r="Q143" i="4"/>
  <c r="O143" i="4"/>
  <c r="N143" i="4"/>
  <c r="J143" i="4"/>
  <c r="G143" i="4"/>
  <c r="E143" i="4"/>
  <c r="D143" i="4"/>
  <c r="AF141" i="4"/>
  <c r="AD141" i="4"/>
  <c r="AC141" i="4"/>
  <c r="AA141" i="4"/>
  <c r="X141" i="4"/>
  <c r="W141" i="4"/>
  <c r="U141" i="4"/>
  <c r="T141" i="4"/>
  <c r="R141" i="4"/>
  <c r="Q141" i="4"/>
  <c r="O141" i="4"/>
  <c r="N141" i="4"/>
  <c r="L141" i="4"/>
  <c r="J141" i="4"/>
  <c r="H141" i="4"/>
  <c r="G141" i="4"/>
  <c r="E141" i="4"/>
  <c r="D141" i="4"/>
  <c r="B141" i="4"/>
  <c r="AF140" i="4"/>
  <c r="AD140" i="4"/>
  <c r="AA140" i="4"/>
  <c r="Z140" i="4"/>
  <c r="X140" i="4"/>
  <c r="W140" i="4"/>
  <c r="U140" i="4"/>
  <c r="T140" i="4"/>
  <c r="R140" i="4"/>
  <c r="Q140" i="4"/>
  <c r="O140" i="4"/>
  <c r="N140" i="4"/>
  <c r="L140" i="4"/>
  <c r="J140" i="4"/>
  <c r="H140" i="4"/>
  <c r="G140" i="4"/>
  <c r="E140" i="4"/>
  <c r="D140" i="4"/>
  <c r="B140" i="4"/>
  <c r="AF139" i="4"/>
  <c r="AD139" i="4"/>
  <c r="AC139" i="4"/>
  <c r="Z139" i="4"/>
  <c r="X139" i="4"/>
  <c r="U139" i="4"/>
  <c r="T139" i="4"/>
  <c r="R139" i="4"/>
  <c r="O139" i="4"/>
  <c r="L139" i="4"/>
  <c r="J139" i="4"/>
  <c r="H139" i="4"/>
  <c r="E139" i="4"/>
  <c r="B139" i="4"/>
  <c r="AD138" i="4"/>
  <c r="AC138" i="4"/>
  <c r="AA138" i="4"/>
  <c r="Z138" i="4"/>
  <c r="X138" i="4"/>
  <c r="W138" i="4"/>
  <c r="R138" i="4"/>
  <c r="Q138" i="4"/>
  <c r="N138" i="4"/>
  <c r="L138" i="4"/>
  <c r="H138" i="4"/>
  <c r="G138" i="4"/>
  <c r="D138" i="4"/>
  <c r="B138" i="4"/>
  <c r="AF137" i="4"/>
  <c r="AC137" i="4"/>
  <c r="AA137" i="4"/>
  <c r="Z137" i="4"/>
  <c r="W137" i="4"/>
  <c r="U137" i="4"/>
  <c r="T137" i="4"/>
  <c r="Q137" i="4"/>
  <c r="O137" i="4"/>
  <c r="N137" i="4"/>
  <c r="J137" i="4"/>
  <c r="G137" i="4"/>
  <c r="E137" i="4"/>
  <c r="D137" i="4"/>
  <c r="AF135" i="4"/>
  <c r="AD135" i="4"/>
  <c r="AC135" i="4"/>
  <c r="AA135" i="4"/>
  <c r="X135" i="4"/>
  <c r="W135" i="4"/>
  <c r="U135" i="4"/>
  <c r="T135" i="4"/>
  <c r="R135" i="4"/>
  <c r="Q135" i="4"/>
  <c r="O135" i="4"/>
  <c r="N135" i="4"/>
  <c r="L135" i="4"/>
  <c r="J135" i="4"/>
  <c r="H135" i="4"/>
  <c r="G135" i="4"/>
  <c r="E135" i="4"/>
  <c r="D135" i="4"/>
  <c r="B135" i="4"/>
  <c r="AF134" i="4"/>
  <c r="AD134" i="4"/>
  <c r="AA134" i="4"/>
  <c r="Z134" i="4"/>
  <c r="X134" i="4"/>
  <c r="W134" i="4"/>
  <c r="U134" i="4"/>
  <c r="T134" i="4"/>
  <c r="R134" i="4"/>
  <c r="Q134" i="4"/>
  <c r="O134" i="4"/>
  <c r="N134" i="4"/>
  <c r="L134" i="4"/>
  <c r="J134" i="4"/>
  <c r="H134" i="4"/>
  <c r="G134" i="4"/>
  <c r="E134" i="4"/>
  <c r="D134" i="4"/>
  <c r="B134" i="4"/>
  <c r="AF133" i="4"/>
  <c r="AD133" i="4"/>
  <c r="AC133" i="4"/>
  <c r="Z133" i="4"/>
  <c r="X133" i="4"/>
  <c r="U133" i="4"/>
  <c r="T133" i="4"/>
  <c r="R133" i="4"/>
  <c r="O133" i="4"/>
  <c r="L133" i="4"/>
  <c r="J133" i="4"/>
  <c r="H133" i="4"/>
  <c r="E133" i="4"/>
  <c r="B133" i="4"/>
  <c r="AD132" i="4"/>
  <c r="AC132" i="4"/>
  <c r="AA132" i="4"/>
  <c r="Z132" i="4"/>
  <c r="X132" i="4"/>
  <c r="W132" i="4"/>
  <c r="R132" i="4"/>
  <c r="Q132" i="4"/>
  <c r="N132" i="4"/>
  <c r="L132" i="4"/>
  <c r="H132" i="4"/>
  <c r="G132" i="4"/>
  <c r="D132" i="4"/>
  <c r="B132" i="4"/>
  <c r="AF131" i="4"/>
  <c r="AC131" i="4"/>
  <c r="AA131" i="4"/>
  <c r="Z131" i="4"/>
  <c r="W131" i="4"/>
  <c r="U131" i="4"/>
  <c r="T131" i="4"/>
  <c r="Q131" i="4"/>
  <c r="O131" i="4"/>
  <c r="N131" i="4"/>
  <c r="J131" i="4"/>
  <c r="G131" i="4"/>
  <c r="E131" i="4"/>
  <c r="D131" i="4"/>
  <c r="AF128" i="4"/>
  <c r="N127" i="4"/>
  <c r="AF120" i="4"/>
  <c r="AD120" i="4"/>
  <c r="AD128" i="4" s="1"/>
  <c r="AC120" i="4"/>
  <c r="AC128" i="4" s="1"/>
  <c r="AA120" i="4"/>
  <c r="AA128" i="4" s="1"/>
  <c r="Z120" i="4"/>
  <c r="Z128" i="4" s="1"/>
  <c r="X120" i="4"/>
  <c r="X128" i="4" s="1"/>
  <c r="W120" i="4"/>
  <c r="W128" i="4" s="1"/>
  <c r="U120" i="4"/>
  <c r="U128" i="4" s="1"/>
  <c r="T120" i="4"/>
  <c r="T128" i="4" s="1"/>
  <c r="R120" i="4"/>
  <c r="R128" i="4" s="1"/>
  <c r="Q120" i="4"/>
  <c r="Q128" i="4" s="1"/>
  <c r="O120" i="4"/>
  <c r="O128" i="4" s="1"/>
  <c r="N120" i="4"/>
  <c r="N128" i="4" s="1"/>
  <c r="L120" i="4"/>
  <c r="L128" i="4" s="1"/>
  <c r="J120" i="4"/>
  <c r="J128" i="4" s="1"/>
  <c r="H120" i="4"/>
  <c r="H128" i="4" s="1"/>
  <c r="G120" i="4"/>
  <c r="G128" i="4" s="1"/>
  <c r="E120" i="4"/>
  <c r="E128" i="4" s="1"/>
  <c r="D120" i="4"/>
  <c r="D128" i="4" s="1"/>
  <c r="B120" i="4"/>
  <c r="B128" i="4" s="1"/>
  <c r="AF119" i="4"/>
  <c r="AF127" i="4" s="1"/>
  <c r="AD119" i="4"/>
  <c r="AD127" i="4" s="1"/>
  <c r="AC119" i="4"/>
  <c r="AC127" i="4" s="1"/>
  <c r="AA119" i="4"/>
  <c r="AA127" i="4" s="1"/>
  <c r="Z119" i="4"/>
  <c r="Z127" i="4" s="1"/>
  <c r="X119" i="4"/>
  <c r="X127" i="4" s="1"/>
  <c r="W119" i="4"/>
  <c r="W127" i="4" s="1"/>
  <c r="U119" i="4"/>
  <c r="U127" i="4" s="1"/>
  <c r="T119" i="4"/>
  <c r="T127" i="4" s="1"/>
  <c r="R119" i="4"/>
  <c r="R127" i="4" s="1"/>
  <c r="Q119" i="4"/>
  <c r="Q127" i="4" s="1"/>
  <c r="O119" i="4"/>
  <c r="O127" i="4" s="1"/>
  <c r="N119" i="4"/>
  <c r="L119" i="4"/>
  <c r="L127" i="4" s="1"/>
  <c r="J119" i="4"/>
  <c r="J127" i="4" s="1"/>
  <c r="H119" i="4"/>
  <c r="H127" i="4" s="1"/>
  <c r="G119" i="4"/>
  <c r="G127" i="4" s="1"/>
  <c r="E119" i="4"/>
  <c r="E127" i="4" s="1"/>
  <c r="D119" i="4"/>
  <c r="D127" i="4" s="1"/>
  <c r="B119" i="4"/>
  <c r="B127" i="4" s="1"/>
  <c r="AF118" i="4"/>
  <c r="AF126" i="4" s="1"/>
  <c r="AD118" i="4"/>
  <c r="AD126" i="4" s="1"/>
  <c r="AC118" i="4"/>
  <c r="AC126" i="4" s="1"/>
  <c r="AA118" i="4"/>
  <c r="AA126" i="4" s="1"/>
  <c r="Z118" i="4"/>
  <c r="Z126" i="4" s="1"/>
  <c r="X118" i="4"/>
  <c r="X126" i="4" s="1"/>
  <c r="W118" i="4"/>
  <c r="W126" i="4" s="1"/>
  <c r="U118" i="4"/>
  <c r="U126" i="4" s="1"/>
  <c r="T118" i="4"/>
  <c r="T126" i="4" s="1"/>
  <c r="R118" i="4"/>
  <c r="R126" i="4" s="1"/>
  <c r="Q118" i="4"/>
  <c r="Q126" i="4" s="1"/>
  <c r="O118" i="4"/>
  <c r="O126" i="4" s="1"/>
  <c r="N118" i="4"/>
  <c r="N126" i="4" s="1"/>
  <c r="L118" i="4"/>
  <c r="L126" i="4" s="1"/>
  <c r="J118" i="4"/>
  <c r="J126" i="4" s="1"/>
  <c r="H118" i="4"/>
  <c r="H126" i="4" s="1"/>
  <c r="G118" i="4"/>
  <c r="G126" i="4" s="1"/>
  <c r="E118" i="4"/>
  <c r="E126" i="4" s="1"/>
  <c r="D118" i="4"/>
  <c r="D126" i="4" s="1"/>
  <c r="B118" i="4"/>
  <c r="B126" i="4" s="1"/>
  <c r="AF117" i="4"/>
  <c r="AF125" i="4" s="1"/>
  <c r="AD117" i="4"/>
  <c r="AD125" i="4" s="1"/>
  <c r="AC117" i="4"/>
  <c r="AC125" i="4" s="1"/>
  <c r="AA117" i="4"/>
  <c r="AA125" i="4" s="1"/>
  <c r="Z117" i="4"/>
  <c r="Z125" i="4" s="1"/>
  <c r="X117" i="4"/>
  <c r="X125" i="4" s="1"/>
  <c r="W117" i="4"/>
  <c r="W125" i="4" s="1"/>
  <c r="U117" i="4"/>
  <c r="U125" i="4" s="1"/>
  <c r="T117" i="4"/>
  <c r="T125" i="4" s="1"/>
  <c r="R117" i="4"/>
  <c r="R125" i="4" s="1"/>
  <c r="Q117" i="4"/>
  <c r="Q125" i="4" s="1"/>
  <c r="O117" i="4"/>
  <c r="O125" i="4" s="1"/>
  <c r="N117" i="4"/>
  <c r="N125" i="4" s="1"/>
  <c r="L117" i="4"/>
  <c r="L125" i="4" s="1"/>
  <c r="J117" i="4"/>
  <c r="J125" i="4" s="1"/>
  <c r="H117" i="4"/>
  <c r="H125" i="4" s="1"/>
  <c r="G117" i="4"/>
  <c r="G125" i="4" s="1"/>
  <c r="E117" i="4"/>
  <c r="E125" i="4" s="1"/>
  <c r="D117" i="4"/>
  <c r="D125" i="4" s="1"/>
  <c r="B117" i="4"/>
  <c r="B125" i="4" s="1"/>
  <c r="AF116" i="4"/>
  <c r="AF150" i="4" s="1"/>
  <c r="AD116" i="4"/>
  <c r="AC116" i="4"/>
  <c r="AC121" i="4" s="1"/>
  <c r="AA116" i="4"/>
  <c r="Z116" i="4"/>
  <c r="Z153" i="4" s="1"/>
  <c r="X116" i="4"/>
  <c r="W116" i="4"/>
  <c r="W121" i="4" s="1"/>
  <c r="U116" i="4"/>
  <c r="T116" i="4"/>
  <c r="T150" i="4" s="1"/>
  <c r="R116" i="4"/>
  <c r="Q116" i="4"/>
  <c r="Q121" i="4" s="1"/>
  <c r="O116" i="4"/>
  <c r="N116" i="4"/>
  <c r="N151" i="4" s="1"/>
  <c r="L116" i="4"/>
  <c r="J116" i="4"/>
  <c r="H116" i="4"/>
  <c r="G116" i="4"/>
  <c r="G151" i="4" s="1"/>
  <c r="E116" i="4"/>
  <c r="D116" i="4"/>
  <c r="D121" i="4" s="1"/>
  <c r="B116" i="4"/>
  <c r="AF115" i="4"/>
  <c r="AD115" i="4"/>
  <c r="AC115" i="4"/>
  <c r="AA115" i="4"/>
  <c r="Z115" i="4"/>
  <c r="X115" i="4"/>
  <c r="W115" i="4"/>
  <c r="U115" i="4"/>
  <c r="T115" i="4"/>
  <c r="R115" i="4"/>
  <c r="AM109" i="4" s="1"/>
  <c r="Q115" i="4"/>
  <c r="O115" i="4"/>
  <c r="AL110" i="4" s="1"/>
  <c r="N115" i="4"/>
  <c r="L115" i="4"/>
  <c r="AK109" i="4" s="1"/>
  <c r="J115" i="4"/>
  <c r="H115" i="4"/>
  <c r="G115" i="4"/>
  <c r="E115" i="4"/>
  <c r="AI110" i="4" s="1"/>
  <c r="D115" i="4"/>
  <c r="B115" i="4"/>
  <c r="AE114" i="4"/>
  <c r="AB114" i="4"/>
  <c r="Y114" i="4"/>
  <c r="V114" i="4"/>
  <c r="S114" i="4"/>
  <c r="P114" i="4"/>
  <c r="M114" i="4"/>
  <c r="I114" i="4"/>
  <c r="F114" i="4"/>
  <c r="A114" i="4"/>
  <c r="AQ113" i="4"/>
  <c r="AP113" i="4"/>
  <c r="AO113" i="4"/>
  <c r="AN113" i="4"/>
  <c r="AM113" i="4"/>
  <c r="AL113" i="4"/>
  <c r="AK113" i="4"/>
  <c r="AJ113" i="4"/>
  <c r="AR113" i="4" s="1"/>
  <c r="X101" i="4" s="1"/>
  <c r="AI113" i="4"/>
  <c r="AH113" i="4"/>
  <c r="AG113" i="4"/>
  <c r="AE113" i="4"/>
  <c r="AB113" i="4"/>
  <c r="Y113" i="4"/>
  <c r="V113" i="4"/>
  <c r="S113" i="4"/>
  <c r="P113" i="4"/>
  <c r="M113" i="4"/>
  <c r="I113" i="4"/>
  <c r="F113" i="4"/>
  <c r="A113" i="4"/>
  <c r="AQ112" i="4"/>
  <c r="AP112" i="4"/>
  <c r="AO112" i="4"/>
  <c r="AN112" i="4"/>
  <c r="AM112" i="4"/>
  <c r="AL112" i="4"/>
  <c r="AK112" i="4"/>
  <c r="AJ112" i="4"/>
  <c r="AI112" i="4"/>
  <c r="AH112" i="4"/>
  <c r="AG112" i="4"/>
  <c r="AE112" i="4"/>
  <c r="AB112" i="4"/>
  <c r="Y112" i="4"/>
  <c r="V112" i="4"/>
  <c r="S112" i="4"/>
  <c r="P112" i="4"/>
  <c r="M112" i="4"/>
  <c r="I112" i="4"/>
  <c r="F112" i="4"/>
  <c r="A112" i="4"/>
  <c r="AQ111" i="4"/>
  <c r="AP111" i="4"/>
  <c r="AO111" i="4"/>
  <c r="AN111" i="4"/>
  <c r="AM111" i="4"/>
  <c r="AK111" i="4"/>
  <c r="AJ111" i="4"/>
  <c r="AG111" i="4"/>
  <c r="AE111" i="4"/>
  <c r="AB111" i="4"/>
  <c r="Y111" i="4"/>
  <c r="V111" i="4"/>
  <c r="S111" i="4"/>
  <c r="P111" i="4"/>
  <c r="M111" i="4"/>
  <c r="I111" i="4"/>
  <c r="F111" i="4"/>
  <c r="A111" i="4"/>
  <c r="AQ110" i="4"/>
  <c r="AP110" i="4"/>
  <c r="AO110" i="4"/>
  <c r="AN110" i="4"/>
  <c r="AK110" i="4"/>
  <c r="AH110" i="4"/>
  <c r="AG110" i="4"/>
  <c r="AE110" i="4"/>
  <c r="AB110" i="4"/>
  <c r="Y110" i="4"/>
  <c r="V110" i="4"/>
  <c r="S110" i="4"/>
  <c r="P110" i="4"/>
  <c r="M110" i="4"/>
  <c r="I110" i="4"/>
  <c r="F110" i="4"/>
  <c r="AQ109" i="4"/>
  <c r="AP109" i="4"/>
  <c r="AO109" i="4"/>
  <c r="AN109" i="4"/>
  <c r="AL109" i="4"/>
  <c r="AI109" i="4"/>
  <c r="AG109" i="4"/>
  <c r="AE109" i="4"/>
  <c r="AB109" i="4"/>
  <c r="Y109" i="4"/>
  <c r="V109" i="4"/>
  <c r="S109" i="4"/>
  <c r="P109" i="4"/>
  <c r="M109" i="4"/>
  <c r="I109" i="4"/>
  <c r="F109" i="4"/>
  <c r="AD107" i="4"/>
  <c r="AA107" i="4"/>
  <c r="X107" i="4"/>
  <c r="U107" i="4"/>
  <c r="R107" i="4"/>
  <c r="O107" i="4"/>
  <c r="L107" i="4"/>
  <c r="H107" i="4"/>
  <c r="E107" i="4"/>
  <c r="E102" i="4"/>
  <c r="E101" i="4"/>
  <c r="B168" i="4" s="1"/>
  <c r="A101" i="4"/>
  <c r="E100" i="4"/>
  <c r="E99" i="4"/>
  <c r="B167" i="4" s="1"/>
  <c r="A99" i="4"/>
  <c r="A97" i="4"/>
  <c r="A95" i="4"/>
  <c r="A93" i="4"/>
  <c r="S92" i="4"/>
  <c r="M92" i="4"/>
  <c r="K91" i="4"/>
  <c r="A89" i="4"/>
  <c r="AF85" i="4"/>
  <c r="AD85" i="4"/>
  <c r="AC85" i="4"/>
  <c r="AA85" i="4"/>
  <c r="Z85" i="4"/>
  <c r="X85" i="4"/>
  <c r="W85" i="4"/>
  <c r="U85" i="4"/>
  <c r="AF76" i="4"/>
  <c r="AD76" i="4"/>
  <c r="AC76" i="4"/>
  <c r="AA76" i="4"/>
  <c r="Z76" i="4"/>
  <c r="X76" i="4"/>
  <c r="W76" i="4"/>
  <c r="U76" i="4"/>
  <c r="T76" i="4"/>
  <c r="R76" i="4"/>
  <c r="Q76" i="4"/>
  <c r="O76" i="4"/>
  <c r="N76" i="4"/>
  <c r="L76" i="4"/>
  <c r="J76" i="4"/>
  <c r="H76" i="4"/>
  <c r="G76" i="4"/>
  <c r="E76" i="4"/>
  <c r="D76" i="4"/>
  <c r="B76" i="4"/>
  <c r="AF75" i="4"/>
  <c r="AD75" i="4"/>
  <c r="AC75" i="4"/>
  <c r="AA75" i="4"/>
  <c r="Z75" i="4"/>
  <c r="X75" i="4"/>
  <c r="W75" i="4"/>
  <c r="U75" i="4"/>
  <c r="T75" i="4"/>
  <c r="R75" i="4"/>
  <c r="O75" i="4"/>
  <c r="N75" i="4"/>
  <c r="L75" i="4"/>
  <c r="H75" i="4"/>
  <c r="E75" i="4"/>
  <c r="D75" i="4"/>
  <c r="B75" i="4"/>
  <c r="AF74" i="4"/>
  <c r="AD74" i="4"/>
  <c r="AC74" i="4"/>
  <c r="AA74" i="4"/>
  <c r="Z74" i="4"/>
  <c r="X74" i="4"/>
  <c r="W74" i="4"/>
  <c r="U74" i="4"/>
  <c r="T74" i="4"/>
  <c r="R74" i="4"/>
  <c r="Q74" i="4"/>
  <c r="L74" i="4"/>
  <c r="J74" i="4"/>
  <c r="H74" i="4"/>
  <c r="G74" i="4"/>
  <c r="E74" i="4"/>
  <c r="B74" i="4"/>
  <c r="AF73" i="4"/>
  <c r="AD73" i="4"/>
  <c r="AC73" i="4"/>
  <c r="AA73" i="4"/>
  <c r="Z73" i="4"/>
  <c r="X73" i="4"/>
  <c r="W73" i="4"/>
  <c r="U73" i="4"/>
  <c r="R73" i="4"/>
  <c r="Q73" i="4"/>
  <c r="O73" i="4"/>
  <c r="N73" i="4"/>
  <c r="L73" i="4"/>
  <c r="J73" i="4"/>
  <c r="G73" i="4"/>
  <c r="E73" i="4"/>
  <c r="D73" i="4"/>
  <c r="AF72" i="4"/>
  <c r="AD72" i="4"/>
  <c r="AC72" i="4"/>
  <c r="AA72" i="4"/>
  <c r="Z72" i="4"/>
  <c r="X72" i="4"/>
  <c r="W72" i="4"/>
  <c r="U72" i="4"/>
  <c r="T72" i="4"/>
  <c r="Q72" i="4"/>
  <c r="O72" i="4"/>
  <c r="N72" i="4"/>
  <c r="J72" i="4"/>
  <c r="H72" i="4"/>
  <c r="G72" i="4"/>
  <c r="D72" i="4"/>
  <c r="B72" i="4"/>
  <c r="AF68" i="4"/>
  <c r="AD68" i="4"/>
  <c r="AC68" i="4"/>
  <c r="AA68" i="4"/>
  <c r="Z68" i="4"/>
  <c r="X68" i="4"/>
  <c r="W68" i="4"/>
  <c r="U68" i="4"/>
  <c r="T68" i="4"/>
  <c r="R68" i="4"/>
  <c r="Q68" i="4"/>
  <c r="O68" i="4"/>
  <c r="N68" i="4"/>
  <c r="L68" i="4"/>
  <c r="J68" i="4"/>
  <c r="H68" i="4"/>
  <c r="G68" i="4"/>
  <c r="E68" i="4"/>
  <c r="D68" i="4"/>
  <c r="B68" i="4"/>
  <c r="AF67" i="4"/>
  <c r="AD67" i="4"/>
  <c r="AC67" i="4"/>
  <c r="AA67" i="4"/>
  <c r="Z67" i="4"/>
  <c r="X67" i="4"/>
  <c r="W67" i="4"/>
  <c r="U67" i="4"/>
  <c r="T67" i="4"/>
  <c r="R67" i="4"/>
  <c r="O67" i="4"/>
  <c r="N67" i="4"/>
  <c r="L67" i="4"/>
  <c r="H67" i="4"/>
  <c r="E67" i="4"/>
  <c r="D67" i="4"/>
  <c r="B67" i="4"/>
  <c r="AF66" i="4"/>
  <c r="AD66" i="4"/>
  <c r="AC66" i="4"/>
  <c r="AA66" i="4"/>
  <c r="Z66" i="4"/>
  <c r="X66" i="4"/>
  <c r="W66" i="4"/>
  <c r="U66" i="4"/>
  <c r="T66" i="4"/>
  <c r="R66" i="4"/>
  <c r="Q66" i="4"/>
  <c r="L66" i="4"/>
  <c r="J66" i="4"/>
  <c r="H66" i="4"/>
  <c r="G66" i="4"/>
  <c r="E66" i="4"/>
  <c r="B66" i="4"/>
  <c r="AF65" i="4"/>
  <c r="AD65" i="4"/>
  <c r="AC65" i="4"/>
  <c r="AA65" i="4"/>
  <c r="Z65" i="4"/>
  <c r="X65" i="4"/>
  <c r="W65" i="4"/>
  <c r="U65" i="4"/>
  <c r="R65" i="4"/>
  <c r="Q65" i="4"/>
  <c r="O65" i="4"/>
  <c r="N65" i="4"/>
  <c r="L65" i="4"/>
  <c r="J65" i="4"/>
  <c r="G65" i="4"/>
  <c r="E65" i="4"/>
  <c r="D65" i="4"/>
  <c r="AF64" i="4"/>
  <c r="AD64" i="4"/>
  <c r="AE71" i="4" s="1"/>
  <c r="AC64" i="4"/>
  <c r="AA64" i="4"/>
  <c r="Z64" i="4"/>
  <c r="X64" i="4"/>
  <c r="Y71" i="4" s="1"/>
  <c r="W64" i="4"/>
  <c r="U64" i="4"/>
  <c r="T64" i="4"/>
  <c r="Q64" i="4"/>
  <c r="O64" i="4"/>
  <c r="N64" i="4"/>
  <c r="J64" i="4"/>
  <c r="H64" i="4"/>
  <c r="G64" i="4"/>
  <c r="D64" i="4"/>
  <c r="B64" i="4"/>
  <c r="AF62" i="4"/>
  <c r="AD62" i="4"/>
  <c r="AC62" i="4"/>
  <c r="AA62" i="4"/>
  <c r="Z62" i="4"/>
  <c r="X62" i="4"/>
  <c r="W62" i="4"/>
  <c r="U62" i="4"/>
  <c r="T62" i="4"/>
  <c r="R62" i="4"/>
  <c r="Q62" i="4"/>
  <c r="O62" i="4"/>
  <c r="N62" i="4"/>
  <c r="L62" i="4"/>
  <c r="J62" i="4"/>
  <c r="H62" i="4"/>
  <c r="G62" i="4"/>
  <c r="E62" i="4"/>
  <c r="D62" i="4"/>
  <c r="B62" i="4"/>
  <c r="AF61" i="4"/>
  <c r="AD61" i="4"/>
  <c r="AC61" i="4"/>
  <c r="AA61" i="4"/>
  <c r="Z61" i="4"/>
  <c r="X61" i="4"/>
  <c r="W61" i="4"/>
  <c r="U61" i="4"/>
  <c r="T61" i="4"/>
  <c r="R61" i="4"/>
  <c r="O61" i="4"/>
  <c r="N61" i="4"/>
  <c r="L61" i="4"/>
  <c r="H61" i="4"/>
  <c r="E61" i="4"/>
  <c r="D61" i="4"/>
  <c r="B61" i="4"/>
  <c r="AF60" i="4"/>
  <c r="AD60" i="4"/>
  <c r="AC60" i="4"/>
  <c r="AA60" i="4"/>
  <c r="Z60" i="4"/>
  <c r="X60" i="4"/>
  <c r="W60" i="4"/>
  <c r="U60" i="4"/>
  <c r="T60" i="4"/>
  <c r="R60" i="4"/>
  <c r="Q60" i="4"/>
  <c r="L60" i="4"/>
  <c r="J60" i="4"/>
  <c r="H60" i="4"/>
  <c r="G60" i="4"/>
  <c r="E60" i="4"/>
  <c r="B60" i="4"/>
  <c r="AF59" i="4"/>
  <c r="AD59" i="4"/>
  <c r="AC59" i="4"/>
  <c r="AA59" i="4"/>
  <c r="Z59" i="4"/>
  <c r="X59" i="4"/>
  <c r="W59" i="4"/>
  <c r="U59" i="4"/>
  <c r="R59" i="4"/>
  <c r="Q59" i="4"/>
  <c r="O59" i="4"/>
  <c r="N59" i="4"/>
  <c r="L59" i="4"/>
  <c r="J59" i="4"/>
  <c r="G59" i="4"/>
  <c r="E59" i="4"/>
  <c r="D59" i="4"/>
  <c r="AF58" i="4"/>
  <c r="AD58" i="4"/>
  <c r="AC58" i="4"/>
  <c r="AA58" i="4"/>
  <c r="Z58" i="4"/>
  <c r="X58" i="4"/>
  <c r="W58" i="4"/>
  <c r="U58" i="4"/>
  <c r="T58" i="4"/>
  <c r="Q58" i="4"/>
  <c r="O58" i="4"/>
  <c r="N58" i="4"/>
  <c r="J58" i="4"/>
  <c r="H58" i="4"/>
  <c r="G58" i="4"/>
  <c r="D58" i="4"/>
  <c r="B58" i="4"/>
  <c r="AF56" i="4"/>
  <c r="AD56" i="4"/>
  <c r="AC56" i="4"/>
  <c r="AA56" i="4"/>
  <c r="Z56" i="4"/>
  <c r="X56" i="4"/>
  <c r="W56" i="4"/>
  <c r="U56" i="4"/>
  <c r="T56" i="4"/>
  <c r="R56" i="4"/>
  <c r="Q56" i="4"/>
  <c r="O56" i="4"/>
  <c r="N56" i="4"/>
  <c r="L56" i="4"/>
  <c r="J56" i="4"/>
  <c r="H56" i="4"/>
  <c r="G56" i="4"/>
  <c r="E56" i="4"/>
  <c r="D56" i="4"/>
  <c r="B56" i="4"/>
  <c r="AF55" i="4"/>
  <c r="AD55" i="4"/>
  <c r="AC55" i="4"/>
  <c r="AA55" i="4"/>
  <c r="Z55" i="4"/>
  <c r="X55" i="4"/>
  <c r="W55" i="4"/>
  <c r="U55" i="4"/>
  <c r="T55" i="4"/>
  <c r="R55" i="4"/>
  <c r="O55" i="4"/>
  <c r="N55" i="4"/>
  <c r="L55" i="4"/>
  <c r="H55" i="4"/>
  <c r="E55" i="4"/>
  <c r="D55" i="4"/>
  <c r="B55" i="4"/>
  <c r="AF54" i="4"/>
  <c r="AD54" i="4"/>
  <c r="AC54" i="4"/>
  <c r="AA54" i="4"/>
  <c r="Z54" i="4"/>
  <c r="X54" i="4"/>
  <c r="W54" i="4"/>
  <c r="U54" i="4"/>
  <c r="T54" i="4"/>
  <c r="R54" i="4"/>
  <c r="Q54" i="4"/>
  <c r="L54" i="4"/>
  <c r="J54" i="4"/>
  <c r="H54" i="4"/>
  <c r="G54" i="4"/>
  <c r="E54" i="4"/>
  <c r="B54" i="4"/>
  <c r="AF53" i="4"/>
  <c r="AD53" i="4"/>
  <c r="AC53" i="4"/>
  <c r="AA53" i="4"/>
  <c r="Z53" i="4"/>
  <c r="X53" i="4"/>
  <c r="W53" i="4"/>
  <c r="U53" i="4"/>
  <c r="R53" i="4"/>
  <c r="Q53" i="4"/>
  <c r="O53" i="4"/>
  <c r="N53" i="4"/>
  <c r="L53" i="4"/>
  <c r="J53" i="4"/>
  <c r="G53" i="4"/>
  <c r="E53" i="4"/>
  <c r="D53" i="4"/>
  <c r="AF52" i="4"/>
  <c r="AD52" i="4"/>
  <c r="AC52" i="4"/>
  <c r="AA52" i="4"/>
  <c r="Z52" i="4"/>
  <c r="X52" i="4"/>
  <c r="W52" i="4"/>
  <c r="U52" i="4"/>
  <c r="T52" i="4"/>
  <c r="Q52" i="4"/>
  <c r="O52" i="4"/>
  <c r="N52" i="4"/>
  <c r="J52" i="4"/>
  <c r="H52" i="4"/>
  <c r="G52" i="4"/>
  <c r="D52" i="4"/>
  <c r="B52" i="4"/>
  <c r="AF50" i="4"/>
  <c r="AD50" i="4"/>
  <c r="AC50" i="4"/>
  <c r="AA50" i="4"/>
  <c r="Z50" i="4"/>
  <c r="X50" i="4"/>
  <c r="W50" i="4"/>
  <c r="U50" i="4"/>
  <c r="T50" i="4"/>
  <c r="R50" i="4"/>
  <c r="Q50" i="4"/>
  <c r="O50" i="4"/>
  <c r="N50" i="4"/>
  <c r="L50" i="4"/>
  <c r="J50" i="4"/>
  <c r="H50" i="4"/>
  <c r="G50" i="4"/>
  <c r="E50" i="4"/>
  <c r="D50" i="4"/>
  <c r="B50" i="4"/>
  <c r="AF49" i="4"/>
  <c r="AD49" i="4"/>
  <c r="AC49" i="4"/>
  <c r="AA49" i="4"/>
  <c r="Z49" i="4"/>
  <c r="X49" i="4"/>
  <c r="W49" i="4"/>
  <c r="U49" i="4"/>
  <c r="T49" i="4"/>
  <c r="R49" i="4"/>
  <c r="O49" i="4"/>
  <c r="N49" i="4"/>
  <c r="L49" i="4"/>
  <c r="H49" i="4"/>
  <c r="E49" i="4"/>
  <c r="D49" i="4"/>
  <c r="B49" i="4"/>
  <c r="AF48" i="4"/>
  <c r="AD48" i="4"/>
  <c r="AC48" i="4"/>
  <c r="AA48" i="4"/>
  <c r="Z48" i="4"/>
  <c r="X48" i="4"/>
  <c r="W48" i="4"/>
  <c r="U48" i="4"/>
  <c r="T48" i="4"/>
  <c r="R48" i="4"/>
  <c r="Q48" i="4"/>
  <c r="L48" i="4"/>
  <c r="J48" i="4"/>
  <c r="H48" i="4"/>
  <c r="G48" i="4"/>
  <c r="E48" i="4"/>
  <c r="B48" i="4"/>
  <c r="AF47" i="4"/>
  <c r="AD47" i="4"/>
  <c r="AC47" i="4"/>
  <c r="AA47" i="4"/>
  <c r="Z47" i="4"/>
  <c r="X47" i="4"/>
  <c r="W47" i="4"/>
  <c r="U47" i="4"/>
  <c r="R47" i="4"/>
  <c r="Q47" i="4"/>
  <c r="O47" i="4"/>
  <c r="N47" i="4"/>
  <c r="L47" i="4"/>
  <c r="J47" i="4"/>
  <c r="G47" i="4"/>
  <c r="E47" i="4"/>
  <c r="D47" i="4"/>
  <c r="AF46" i="4"/>
  <c r="AD46" i="4"/>
  <c r="AC46" i="4"/>
  <c r="AA46" i="4"/>
  <c r="Z46" i="4"/>
  <c r="X46" i="4"/>
  <c r="W46" i="4"/>
  <c r="U46" i="4"/>
  <c r="T46" i="4"/>
  <c r="Q46" i="4"/>
  <c r="O46" i="4"/>
  <c r="N46" i="4"/>
  <c r="J46" i="4"/>
  <c r="H46" i="4"/>
  <c r="G46" i="4"/>
  <c r="D46" i="4"/>
  <c r="B46" i="4"/>
  <c r="AA43" i="4"/>
  <c r="O43" i="4"/>
  <c r="B43" i="4"/>
  <c r="U42" i="4"/>
  <c r="H42" i="4"/>
  <c r="AA41" i="4"/>
  <c r="O41" i="4"/>
  <c r="B41" i="4"/>
  <c r="U40" i="4"/>
  <c r="H40" i="4"/>
  <c r="AA39" i="4"/>
  <c r="AF35" i="4"/>
  <c r="AF43" i="4" s="1"/>
  <c r="AD35" i="4"/>
  <c r="AD43" i="4" s="1"/>
  <c r="AC35" i="4"/>
  <c r="AC43" i="4" s="1"/>
  <c r="AA35" i="4"/>
  <c r="Z35" i="4"/>
  <c r="Z43" i="4" s="1"/>
  <c r="X35" i="4"/>
  <c r="X43" i="4" s="1"/>
  <c r="W35" i="4"/>
  <c r="W43" i="4" s="1"/>
  <c r="U35" i="4"/>
  <c r="U43" i="4" s="1"/>
  <c r="T35" i="4"/>
  <c r="T43" i="4" s="1"/>
  <c r="R35" i="4"/>
  <c r="R43" i="4" s="1"/>
  <c r="Q35" i="4"/>
  <c r="Q43" i="4" s="1"/>
  <c r="O35" i="4"/>
  <c r="N35" i="4"/>
  <c r="N43" i="4" s="1"/>
  <c r="L35" i="4"/>
  <c r="L43" i="4" s="1"/>
  <c r="J35" i="4"/>
  <c r="J43" i="4" s="1"/>
  <c r="H35" i="4"/>
  <c r="H43" i="4" s="1"/>
  <c r="G35" i="4"/>
  <c r="G43" i="4" s="1"/>
  <c r="E35" i="4"/>
  <c r="E43" i="4" s="1"/>
  <c r="D35" i="4"/>
  <c r="D43" i="4" s="1"/>
  <c r="B35" i="4"/>
  <c r="AF34" i="4"/>
  <c r="AF42" i="4" s="1"/>
  <c r="AD34" i="4"/>
  <c r="AD42" i="4" s="1"/>
  <c r="AC34" i="4"/>
  <c r="AC42" i="4" s="1"/>
  <c r="AA34" i="4"/>
  <c r="AA42" i="4" s="1"/>
  <c r="Z34" i="4"/>
  <c r="Z42" i="4" s="1"/>
  <c r="X34" i="4"/>
  <c r="X42" i="4" s="1"/>
  <c r="W34" i="4"/>
  <c r="W42" i="4" s="1"/>
  <c r="U34" i="4"/>
  <c r="T34" i="4"/>
  <c r="T42" i="4" s="1"/>
  <c r="R34" i="4"/>
  <c r="R42" i="4" s="1"/>
  <c r="Q34" i="4"/>
  <c r="Q42" i="4" s="1"/>
  <c r="O34" i="4"/>
  <c r="O42" i="4" s="1"/>
  <c r="N34" i="4"/>
  <c r="N42" i="4" s="1"/>
  <c r="L34" i="4"/>
  <c r="L42" i="4" s="1"/>
  <c r="J34" i="4"/>
  <c r="J42" i="4" s="1"/>
  <c r="H34" i="4"/>
  <c r="G34" i="4"/>
  <c r="G42" i="4" s="1"/>
  <c r="E34" i="4"/>
  <c r="E42" i="4" s="1"/>
  <c r="D34" i="4"/>
  <c r="D42" i="4" s="1"/>
  <c r="B34" i="4"/>
  <c r="B42" i="4" s="1"/>
  <c r="AF33" i="4"/>
  <c r="AF41" i="4" s="1"/>
  <c r="AD33" i="4"/>
  <c r="AD41" i="4" s="1"/>
  <c r="AC33" i="4"/>
  <c r="AC41" i="4" s="1"/>
  <c r="AA33" i="4"/>
  <c r="Z33" i="4"/>
  <c r="Z41" i="4" s="1"/>
  <c r="X33" i="4"/>
  <c r="X41" i="4" s="1"/>
  <c r="W33" i="4"/>
  <c r="W41" i="4" s="1"/>
  <c r="U33" i="4"/>
  <c r="U41" i="4" s="1"/>
  <c r="T33" i="4"/>
  <c r="T41" i="4" s="1"/>
  <c r="R33" i="4"/>
  <c r="R41" i="4" s="1"/>
  <c r="Q33" i="4"/>
  <c r="Q41" i="4" s="1"/>
  <c r="O33" i="4"/>
  <c r="N33" i="4"/>
  <c r="N41" i="4" s="1"/>
  <c r="L33" i="4"/>
  <c r="L41" i="4" s="1"/>
  <c r="J33" i="4"/>
  <c r="J41" i="4" s="1"/>
  <c r="H33" i="4"/>
  <c r="H41" i="4" s="1"/>
  <c r="G33" i="4"/>
  <c r="G41" i="4" s="1"/>
  <c r="E33" i="4"/>
  <c r="E41" i="4" s="1"/>
  <c r="D33" i="4"/>
  <c r="D41" i="4" s="1"/>
  <c r="B33" i="4"/>
  <c r="AF32" i="4"/>
  <c r="AF40" i="4" s="1"/>
  <c r="AD32" i="4"/>
  <c r="AD40" i="4" s="1"/>
  <c r="AC32" i="4"/>
  <c r="AC40" i="4" s="1"/>
  <c r="AA32" i="4"/>
  <c r="AA40" i="4" s="1"/>
  <c r="Z32" i="4"/>
  <c r="Z40" i="4" s="1"/>
  <c r="X32" i="4"/>
  <c r="X40" i="4" s="1"/>
  <c r="W32" i="4"/>
  <c r="W40" i="4" s="1"/>
  <c r="U32" i="4"/>
  <c r="T32" i="4"/>
  <c r="T40" i="4" s="1"/>
  <c r="R32" i="4"/>
  <c r="R40" i="4" s="1"/>
  <c r="Q32" i="4"/>
  <c r="Q40" i="4" s="1"/>
  <c r="O32" i="4"/>
  <c r="O40" i="4" s="1"/>
  <c r="N32" i="4"/>
  <c r="N40" i="4" s="1"/>
  <c r="L32" i="4"/>
  <c r="L40" i="4" s="1"/>
  <c r="J32" i="4"/>
  <c r="J40" i="4" s="1"/>
  <c r="H32" i="4"/>
  <c r="G32" i="4"/>
  <c r="G40" i="4" s="1"/>
  <c r="E32" i="4"/>
  <c r="E40" i="4" s="1"/>
  <c r="D32" i="4"/>
  <c r="D40" i="4" s="1"/>
  <c r="B32" i="4"/>
  <c r="B40" i="4" s="1"/>
  <c r="AF31" i="4"/>
  <c r="AF36" i="4" s="1"/>
  <c r="AD31" i="4"/>
  <c r="AD39" i="4" s="1"/>
  <c r="AC31" i="4"/>
  <c r="AC36" i="4" s="1"/>
  <c r="AC37" i="4" s="1"/>
  <c r="AA31" i="4"/>
  <c r="AA36" i="4" s="1"/>
  <c r="Z31" i="4"/>
  <c r="Z36" i="4" s="1"/>
  <c r="X31" i="4"/>
  <c r="X39" i="4" s="1"/>
  <c r="W31" i="4"/>
  <c r="W36" i="4" s="1"/>
  <c r="W37" i="4" s="1"/>
  <c r="U31" i="4"/>
  <c r="U36" i="4" s="1"/>
  <c r="T31" i="4"/>
  <c r="T65" i="4" s="1"/>
  <c r="R31" i="4"/>
  <c r="R39" i="4" s="1"/>
  <c r="Q31" i="4"/>
  <c r="Q36" i="4" s="1"/>
  <c r="O31" i="4"/>
  <c r="O66" i="4" s="1"/>
  <c r="N31" i="4"/>
  <c r="N66" i="4" s="1"/>
  <c r="L31" i="4"/>
  <c r="L39" i="4" s="1"/>
  <c r="J31" i="4"/>
  <c r="J36" i="4" s="1"/>
  <c r="H31" i="4"/>
  <c r="H36" i="4" s="1"/>
  <c r="G31" i="4"/>
  <c r="G67" i="4" s="1"/>
  <c r="E31" i="4"/>
  <c r="E39" i="4" s="1"/>
  <c r="D31" i="4"/>
  <c r="D66" i="4" s="1"/>
  <c r="B31" i="4"/>
  <c r="B36" i="4" s="1"/>
  <c r="AF30" i="4"/>
  <c r="AD30" i="4"/>
  <c r="AC30" i="4"/>
  <c r="AA30" i="4"/>
  <c r="Z30" i="4"/>
  <c r="X30" i="4"/>
  <c r="W30" i="4"/>
  <c r="U30" i="4"/>
  <c r="T30" i="4"/>
  <c r="R30" i="4"/>
  <c r="Q30" i="4"/>
  <c r="AL27" i="4" s="1"/>
  <c r="O30" i="4"/>
  <c r="N30" i="4"/>
  <c r="L30" i="4"/>
  <c r="J30" i="4"/>
  <c r="H30" i="4"/>
  <c r="G30" i="4"/>
  <c r="E30" i="4"/>
  <c r="D30" i="4"/>
  <c r="B30" i="4"/>
  <c r="AE29" i="4"/>
  <c r="AB29" i="4"/>
  <c r="Y29" i="4"/>
  <c r="V29" i="4"/>
  <c r="S29" i="4"/>
  <c r="P29" i="4"/>
  <c r="M29" i="4"/>
  <c r="I29" i="4"/>
  <c r="F29" i="4"/>
  <c r="A29" i="4"/>
  <c r="AQ28" i="4"/>
  <c r="AP28" i="4"/>
  <c r="AO28" i="4"/>
  <c r="AN28" i="4"/>
  <c r="AM28" i="4"/>
  <c r="AL28" i="4"/>
  <c r="AK28" i="4"/>
  <c r="AJ28" i="4"/>
  <c r="AI28" i="4"/>
  <c r="AH28" i="4"/>
  <c r="AG28" i="4"/>
  <c r="AE28" i="4"/>
  <c r="AB28" i="4"/>
  <c r="Y28" i="4"/>
  <c r="V28" i="4"/>
  <c r="S28" i="4"/>
  <c r="P28" i="4"/>
  <c r="M28" i="4"/>
  <c r="I28" i="4"/>
  <c r="F28" i="4"/>
  <c r="A28" i="4"/>
  <c r="AQ27" i="4"/>
  <c r="AP27" i="4"/>
  <c r="AO27" i="4"/>
  <c r="AN27" i="4"/>
  <c r="AM27" i="4"/>
  <c r="AK27" i="4"/>
  <c r="AH27" i="4"/>
  <c r="AG27" i="4"/>
  <c r="AE27" i="4"/>
  <c r="AB27" i="4"/>
  <c r="Y27" i="4"/>
  <c r="V27" i="4"/>
  <c r="S27" i="4"/>
  <c r="P27" i="4"/>
  <c r="M27" i="4"/>
  <c r="I27" i="4"/>
  <c r="F27" i="4"/>
  <c r="A27" i="4"/>
  <c r="AQ26" i="4"/>
  <c r="AP26" i="4"/>
  <c r="AO26" i="4"/>
  <c r="AN26" i="4"/>
  <c r="AM26" i="4"/>
  <c r="AJ26" i="4"/>
  <c r="AI26" i="4"/>
  <c r="AG26" i="4"/>
  <c r="AE26" i="4"/>
  <c r="AB26" i="4"/>
  <c r="Y26" i="4"/>
  <c r="V26" i="4"/>
  <c r="S26" i="4"/>
  <c r="P26" i="4"/>
  <c r="M26" i="4"/>
  <c r="I26" i="4"/>
  <c r="F26" i="4"/>
  <c r="A26" i="4"/>
  <c r="AQ25" i="4"/>
  <c r="AP25" i="4"/>
  <c r="AO25" i="4"/>
  <c r="AN25" i="4"/>
  <c r="AL25" i="4"/>
  <c r="AK25" i="4"/>
  <c r="AI25" i="4"/>
  <c r="AG25" i="4"/>
  <c r="AE25" i="4"/>
  <c r="AB25" i="4"/>
  <c r="Y25" i="4"/>
  <c r="V25" i="4"/>
  <c r="S25" i="4"/>
  <c r="P25" i="4"/>
  <c r="M25" i="4"/>
  <c r="I25" i="4"/>
  <c r="F25" i="4"/>
  <c r="AQ24" i="4"/>
  <c r="AP24" i="4"/>
  <c r="AO24" i="4"/>
  <c r="AN24" i="4"/>
  <c r="AL24" i="4"/>
  <c r="AJ24" i="4"/>
  <c r="AH24" i="4"/>
  <c r="AG24" i="4"/>
  <c r="AE24" i="4"/>
  <c r="AB24" i="4"/>
  <c r="Y24" i="4"/>
  <c r="V24" i="4"/>
  <c r="S24" i="4"/>
  <c r="P24" i="4"/>
  <c r="M24" i="4"/>
  <c r="I24" i="4"/>
  <c r="F24" i="4"/>
  <c r="AD22" i="4"/>
  <c r="AA22" i="4"/>
  <c r="X22" i="4"/>
  <c r="U22" i="4"/>
  <c r="R22" i="4"/>
  <c r="O22" i="4"/>
  <c r="L22" i="4"/>
  <c r="H22" i="4"/>
  <c r="E22" i="4"/>
  <c r="E17" i="4"/>
  <c r="E16" i="4"/>
  <c r="B83" i="4" s="1"/>
  <c r="A16" i="4"/>
  <c r="A14" i="4"/>
  <c r="A12" i="4"/>
  <c r="A10" i="4"/>
  <c r="A8" i="4"/>
  <c r="S7" i="4"/>
  <c r="M7" i="4"/>
  <c r="K6" i="4"/>
  <c r="AF232" i="3"/>
  <c r="Z231" i="3"/>
  <c r="X230" i="3"/>
  <c r="AC222" i="3"/>
  <c r="AF218" i="3" s="1"/>
  <c r="J222" i="3"/>
  <c r="H222" i="3"/>
  <c r="AF221" i="3"/>
  <c r="AD221" i="3"/>
  <c r="AC221" i="3"/>
  <c r="AA221" i="3"/>
  <c r="Z221" i="3"/>
  <c r="X221" i="3"/>
  <c r="J221" i="3"/>
  <c r="H221" i="3"/>
  <c r="G221" i="3"/>
  <c r="E221" i="3"/>
  <c r="D221" i="3"/>
  <c r="B221" i="3"/>
  <c r="AF220" i="3"/>
  <c r="AD220" i="3"/>
  <c r="AC220" i="3"/>
  <c r="AA220" i="3"/>
  <c r="Z220" i="3"/>
  <c r="X220" i="3"/>
  <c r="J220" i="3"/>
  <c r="H220" i="3"/>
  <c r="G220" i="3"/>
  <c r="E220" i="3"/>
  <c r="D220" i="3"/>
  <c r="B220" i="3"/>
  <c r="AF219" i="3"/>
  <c r="AF222" i="3" s="1"/>
  <c r="AD219" i="3"/>
  <c r="AD222" i="3" s="1"/>
  <c r="AD232" i="3" s="1"/>
  <c r="AC219" i="3"/>
  <c r="AA219" i="3"/>
  <c r="AA222" i="3" s="1"/>
  <c r="Z219" i="3"/>
  <c r="Z222" i="3" s="1"/>
  <c r="X232" i="3" s="1"/>
  <c r="X219" i="3"/>
  <c r="X222" i="3" s="1"/>
  <c r="Z232" i="3" s="1"/>
  <c r="J219" i="3"/>
  <c r="H219" i="3"/>
  <c r="G219" i="3"/>
  <c r="G222" i="3" s="1"/>
  <c r="J218" i="3" s="1"/>
  <c r="E219" i="3"/>
  <c r="E222" i="3" s="1"/>
  <c r="E232" i="3" s="1"/>
  <c r="D219" i="3"/>
  <c r="D222" i="3" s="1"/>
  <c r="B219" i="3"/>
  <c r="B222" i="3" s="1"/>
  <c r="V195" i="3"/>
  <c r="A174" i="3"/>
  <c r="AF161" i="3"/>
  <c r="AD161" i="3"/>
  <c r="AC161" i="3"/>
  <c r="AA161" i="3"/>
  <c r="X161" i="3"/>
  <c r="W161" i="3"/>
  <c r="U161" i="3"/>
  <c r="T161" i="3"/>
  <c r="R161" i="3"/>
  <c r="Q161" i="3"/>
  <c r="O161" i="3"/>
  <c r="N161" i="3"/>
  <c r="L161" i="3"/>
  <c r="J161" i="3"/>
  <c r="H161" i="3"/>
  <c r="G161" i="3"/>
  <c r="E161" i="3"/>
  <c r="D161" i="3"/>
  <c r="B161" i="3"/>
  <c r="AF160" i="3"/>
  <c r="AD160" i="3"/>
  <c r="AA160" i="3"/>
  <c r="Z160" i="3"/>
  <c r="X160" i="3"/>
  <c r="W160" i="3"/>
  <c r="U160" i="3"/>
  <c r="T160" i="3"/>
  <c r="R160" i="3"/>
  <c r="Q160" i="3"/>
  <c r="O160" i="3"/>
  <c r="N160" i="3"/>
  <c r="L160" i="3"/>
  <c r="J160" i="3"/>
  <c r="H160" i="3"/>
  <c r="G160" i="3"/>
  <c r="E160" i="3"/>
  <c r="D160" i="3"/>
  <c r="B160" i="3"/>
  <c r="AF159" i="3"/>
  <c r="AD159" i="3"/>
  <c r="AC159" i="3"/>
  <c r="Z159" i="3"/>
  <c r="X159" i="3"/>
  <c r="U159" i="3"/>
  <c r="T159" i="3"/>
  <c r="R159" i="3"/>
  <c r="O159" i="3"/>
  <c r="L159" i="3"/>
  <c r="J159" i="3"/>
  <c r="H159" i="3"/>
  <c r="E159" i="3"/>
  <c r="B159" i="3"/>
  <c r="AD158" i="3"/>
  <c r="AC158" i="3"/>
  <c r="AA158" i="3"/>
  <c r="Z158" i="3"/>
  <c r="X158" i="3"/>
  <c r="W158" i="3"/>
  <c r="R158" i="3"/>
  <c r="Q158" i="3"/>
  <c r="N158" i="3"/>
  <c r="L158" i="3"/>
  <c r="H158" i="3"/>
  <c r="G158" i="3"/>
  <c r="D158" i="3"/>
  <c r="B158" i="3"/>
  <c r="AF157" i="3"/>
  <c r="AC157" i="3"/>
  <c r="AA157" i="3"/>
  <c r="Z157" i="3"/>
  <c r="W157" i="3"/>
  <c r="U157" i="3"/>
  <c r="T157" i="3"/>
  <c r="Q157" i="3"/>
  <c r="O157" i="3"/>
  <c r="N157" i="3"/>
  <c r="J157" i="3"/>
  <c r="G157" i="3"/>
  <c r="E157" i="3"/>
  <c r="D157" i="3"/>
  <c r="AF153" i="3"/>
  <c r="AD153" i="3"/>
  <c r="AC153" i="3"/>
  <c r="AA153" i="3"/>
  <c r="Z153" i="3"/>
  <c r="X153" i="3"/>
  <c r="W153" i="3"/>
  <c r="U153" i="3"/>
  <c r="T153" i="3"/>
  <c r="R153" i="3"/>
  <c r="Q153" i="3"/>
  <c r="O153" i="3"/>
  <c r="N153" i="3"/>
  <c r="L153" i="3"/>
  <c r="J153" i="3"/>
  <c r="H153" i="3"/>
  <c r="G153" i="3"/>
  <c r="E153" i="3"/>
  <c r="D153" i="3"/>
  <c r="B153" i="3"/>
  <c r="AF152" i="3"/>
  <c r="AD152" i="3"/>
  <c r="AA152" i="3"/>
  <c r="Z152" i="3"/>
  <c r="X152" i="3"/>
  <c r="W152" i="3"/>
  <c r="U152" i="3"/>
  <c r="T152" i="3"/>
  <c r="R152" i="3"/>
  <c r="Q152" i="3"/>
  <c r="O152" i="3"/>
  <c r="N152" i="3"/>
  <c r="L152" i="3"/>
  <c r="J152" i="3"/>
  <c r="H152" i="3"/>
  <c r="G152" i="3"/>
  <c r="E152" i="3"/>
  <c r="D152" i="3"/>
  <c r="B152" i="3"/>
  <c r="AF151" i="3"/>
  <c r="AD151" i="3"/>
  <c r="AC151" i="3"/>
  <c r="Z151" i="3"/>
  <c r="X151" i="3"/>
  <c r="U151" i="3"/>
  <c r="T151" i="3"/>
  <c r="R151" i="3"/>
  <c r="O151" i="3"/>
  <c r="L151" i="3"/>
  <c r="J151" i="3"/>
  <c r="H151" i="3"/>
  <c r="E151" i="3"/>
  <c r="B151" i="3"/>
  <c r="AD150" i="3"/>
  <c r="AC150" i="3"/>
  <c r="AA150" i="3"/>
  <c r="Z150" i="3"/>
  <c r="X150" i="3"/>
  <c r="W150" i="3"/>
  <c r="R150" i="3"/>
  <c r="Q150" i="3"/>
  <c r="N150" i="3"/>
  <c r="L150" i="3"/>
  <c r="H150" i="3"/>
  <c r="G150" i="3"/>
  <c r="D150" i="3"/>
  <c r="B150" i="3"/>
  <c r="AF149" i="3"/>
  <c r="AC149" i="3"/>
  <c r="AA149" i="3"/>
  <c r="Z149" i="3"/>
  <c r="W149" i="3"/>
  <c r="U149" i="3"/>
  <c r="T149" i="3"/>
  <c r="Q149" i="3"/>
  <c r="O149" i="3"/>
  <c r="N149" i="3"/>
  <c r="J149" i="3"/>
  <c r="G149" i="3"/>
  <c r="E149" i="3"/>
  <c r="D149" i="3"/>
  <c r="AF147" i="3"/>
  <c r="AD147" i="3"/>
  <c r="AC147" i="3"/>
  <c r="AA147" i="3"/>
  <c r="X147" i="3"/>
  <c r="W147" i="3"/>
  <c r="U147" i="3"/>
  <c r="T147" i="3"/>
  <c r="R147" i="3"/>
  <c r="Q147" i="3"/>
  <c r="O147" i="3"/>
  <c r="N147" i="3"/>
  <c r="L147" i="3"/>
  <c r="J147" i="3"/>
  <c r="H147" i="3"/>
  <c r="G147" i="3"/>
  <c r="E147" i="3"/>
  <c r="D147" i="3"/>
  <c r="B147" i="3"/>
  <c r="AF146" i="3"/>
  <c r="AD146" i="3"/>
  <c r="AA146" i="3"/>
  <c r="Z146" i="3"/>
  <c r="X146" i="3"/>
  <c r="W146" i="3"/>
  <c r="U146" i="3"/>
  <c r="T146" i="3"/>
  <c r="R146" i="3"/>
  <c r="Q146" i="3"/>
  <c r="O146" i="3"/>
  <c r="N146" i="3"/>
  <c r="L146" i="3"/>
  <c r="J146" i="3"/>
  <c r="H146" i="3"/>
  <c r="G146" i="3"/>
  <c r="E146" i="3"/>
  <c r="D146" i="3"/>
  <c r="B146" i="3"/>
  <c r="AF145" i="3"/>
  <c r="AD145" i="3"/>
  <c r="AC145" i="3"/>
  <c r="Z145" i="3"/>
  <c r="X145" i="3"/>
  <c r="U145" i="3"/>
  <c r="T145" i="3"/>
  <c r="R145" i="3"/>
  <c r="O145" i="3"/>
  <c r="L145" i="3"/>
  <c r="J145" i="3"/>
  <c r="H145" i="3"/>
  <c r="E145" i="3"/>
  <c r="B145" i="3"/>
  <c r="AD144" i="3"/>
  <c r="AC144" i="3"/>
  <c r="AA144" i="3"/>
  <c r="Z144" i="3"/>
  <c r="X144" i="3"/>
  <c r="W144" i="3"/>
  <c r="R144" i="3"/>
  <c r="Q144" i="3"/>
  <c r="N144" i="3"/>
  <c r="L144" i="3"/>
  <c r="H144" i="3"/>
  <c r="G144" i="3"/>
  <c r="D144" i="3"/>
  <c r="B144" i="3"/>
  <c r="AF143" i="3"/>
  <c r="AC143" i="3"/>
  <c r="AA143" i="3"/>
  <c r="Z143" i="3"/>
  <c r="W143" i="3"/>
  <c r="U143" i="3"/>
  <c r="T143" i="3"/>
  <c r="Q143" i="3"/>
  <c r="O143" i="3"/>
  <c r="N143" i="3"/>
  <c r="J143" i="3"/>
  <c r="G143" i="3"/>
  <c r="E143" i="3"/>
  <c r="D143" i="3"/>
  <c r="AF141" i="3"/>
  <c r="AD141" i="3"/>
  <c r="AC141" i="3"/>
  <c r="AA141" i="3"/>
  <c r="X141" i="3"/>
  <c r="W141" i="3"/>
  <c r="U141" i="3"/>
  <c r="T141" i="3"/>
  <c r="R141" i="3"/>
  <c r="Q141" i="3"/>
  <c r="O141" i="3"/>
  <c r="N141" i="3"/>
  <c r="L141" i="3"/>
  <c r="J141" i="3"/>
  <c r="H141" i="3"/>
  <c r="G141" i="3"/>
  <c r="E141" i="3"/>
  <c r="D141" i="3"/>
  <c r="B141" i="3"/>
  <c r="AF140" i="3"/>
  <c r="AD140" i="3"/>
  <c r="AA140" i="3"/>
  <c r="Z140" i="3"/>
  <c r="X140" i="3"/>
  <c r="W140" i="3"/>
  <c r="U140" i="3"/>
  <c r="T140" i="3"/>
  <c r="R140" i="3"/>
  <c r="Q140" i="3"/>
  <c r="O140" i="3"/>
  <c r="N140" i="3"/>
  <c r="L140" i="3"/>
  <c r="J140" i="3"/>
  <c r="H140" i="3"/>
  <c r="G140" i="3"/>
  <c r="E140" i="3"/>
  <c r="D140" i="3"/>
  <c r="B140" i="3"/>
  <c r="AF139" i="3"/>
  <c r="AD139" i="3"/>
  <c r="AC139" i="3"/>
  <c r="Z139" i="3"/>
  <c r="X139" i="3"/>
  <c r="U139" i="3"/>
  <c r="T139" i="3"/>
  <c r="R139" i="3"/>
  <c r="O139" i="3"/>
  <c r="L139" i="3"/>
  <c r="J139" i="3"/>
  <c r="H139" i="3"/>
  <c r="E139" i="3"/>
  <c r="B139" i="3"/>
  <c r="AD138" i="3"/>
  <c r="AC138" i="3"/>
  <c r="AA138" i="3"/>
  <c r="Z138" i="3"/>
  <c r="X138" i="3"/>
  <c r="W138" i="3"/>
  <c r="R138" i="3"/>
  <c r="Q138" i="3"/>
  <c r="N138" i="3"/>
  <c r="L138" i="3"/>
  <c r="H138" i="3"/>
  <c r="G138" i="3"/>
  <c r="D138" i="3"/>
  <c r="B138" i="3"/>
  <c r="AF137" i="3"/>
  <c r="AC137" i="3"/>
  <c r="AA137" i="3"/>
  <c r="Z137" i="3"/>
  <c r="W137" i="3"/>
  <c r="U137" i="3"/>
  <c r="T137" i="3"/>
  <c r="Q137" i="3"/>
  <c r="O137" i="3"/>
  <c r="N137" i="3"/>
  <c r="J137" i="3"/>
  <c r="G137" i="3"/>
  <c r="E137" i="3"/>
  <c r="D137" i="3"/>
  <c r="AF135" i="3"/>
  <c r="AD135" i="3"/>
  <c r="AC135" i="3"/>
  <c r="AA135" i="3"/>
  <c r="X135" i="3"/>
  <c r="W135" i="3"/>
  <c r="U135" i="3"/>
  <c r="T135" i="3"/>
  <c r="R135" i="3"/>
  <c r="Q135" i="3"/>
  <c r="O135" i="3"/>
  <c r="N135" i="3"/>
  <c r="L135" i="3"/>
  <c r="J135" i="3"/>
  <c r="H135" i="3"/>
  <c r="G135" i="3"/>
  <c r="E135" i="3"/>
  <c r="D135" i="3"/>
  <c r="B135" i="3"/>
  <c r="AF134" i="3"/>
  <c r="AD134" i="3"/>
  <c r="AA134" i="3"/>
  <c r="Z134" i="3"/>
  <c r="X134" i="3"/>
  <c r="W134" i="3"/>
  <c r="U134" i="3"/>
  <c r="T134" i="3"/>
  <c r="R134" i="3"/>
  <c r="Q134" i="3"/>
  <c r="O134" i="3"/>
  <c r="N134" i="3"/>
  <c r="L134" i="3"/>
  <c r="J134" i="3"/>
  <c r="H134" i="3"/>
  <c r="G134" i="3"/>
  <c r="E134" i="3"/>
  <c r="D134" i="3"/>
  <c r="B134" i="3"/>
  <c r="AF133" i="3"/>
  <c r="AD133" i="3"/>
  <c r="AC133" i="3"/>
  <c r="Z133" i="3"/>
  <c r="X133" i="3"/>
  <c r="U133" i="3"/>
  <c r="T133" i="3"/>
  <c r="R133" i="3"/>
  <c r="O133" i="3"/>
  <c r="L133" i="3"/>
  <c r="J133" i="3"/>
  <c r="H133" i="3"/>
  <c r="E133" i="3"/>
  <c r="B133" i="3"/>
  <c r="AD132" i="3"/>
  <c r="AC132" i="3"/>
  <c r="AA132" i="3"/>
  <c r="Z132" i="3"/>
  <c r="X132" i="3"/>
  <c r="W132" i="3"/>
  <c r="R132" i="3"/>
  <c r="Q132" i="3"/>
  <c r="N132" i="3"/>
  <c r="L132" i="3"/>
  <c r="H132" i="3"/>
  <c r="G132" i="3"/>
  <c r="D132" i="3"/>
  <c r="B132" i="3"/>
  <c r="AF131" i="3"/>
  <c r="AC131" i="3"/>
  <c r="AA131" i="3"/>
  <c r="Z131" i="3"/>
  <c r="W131" i="3"/>
  <c r="U131" i="3"/>
  <c r="T131" i="3"/>
  <c r="Q131" i="3"/>
  <c r="O131" i="3"/>
  <c r="N131" i="3"/>
  <c r="J131" i="3"/>
  <c r="G131" i="3"/>
  <c r="E131" i="3"/>
  <c r="D131" i="3"/>
  <c r="AC128" i="3"/>
  <c r="W128" i="3"/>
  <c r="Q128" i="3"/>
  <c r="J128" i="3"/>
  <c r="D128" i="3"/>
  <c r="AC127" i="3"/>
  <c r="W127" i="3"/>
  <c r="Q127" i="3"/>
  <c r="J127" i="3"/>
  <c r="D127" i="3"/>
  <c r="W126" i="3"/>
  <c r="R126" i="3"/>
  <c r="J126" i="3"/>
  <c r="AC125" i="3"/>
  <c r="X125" i="3"/>
  <c r="Q125" i="3"/>
  <c r="D125" i="3"/>
  <c r="AD124" i="3"/>
  <c r="W124" i="3"/>
  <c r="Z121" i="3"/>
  <c r="U121" i="3"/>
  <c r="AF120" i="3"/>
  <c r="AF128" i="3" s="1"/>
  <c r="AD120" i="3"/>
  <c r="AD128" i="3" s="1"/>
  <c r="AC120" i="3"/>
  <c r="AA120" i="3"/>
  <c r="AA128" i="3" s="1"/>
  <c r="Z120" i="3"/>
  <c r="Z128" i="3" s="1"/>
  <c r="X120" i="3"/>
  <c r="X128" i="3" s="1"/>
  <c r="W120" i="3"/>
  <c r="U120" i="3"/>
  <c r="U128" i="3" s="1"/>
  <c r="T120" i="3"/>
  <c r="T128" i="3" s="1"/>
  <c r="R120" i="3"/>
  <c r="R128" i="3" s="1"/>
  <c r="Q120" i="3"/>
  <c r="O120" i="3"/>
  <c r="O128" i="3" s="1"/>
  <c r="N120" i="3"/>
  <c r="N128" i="3" s="1"/>
  <c r="L120" i="3"/>
  <c r="L128" i="3" s="1"/>
  <c r="J120" i="3"/>
  <c r="H120" i="3"/>
  <c r="H128" i="3" s="1"/>
  <c r="G120" i="3"/>
  <c r="G128" i="3" s="1"/>
  <c r="E120" i="3"/>
  <c r="E128" i="3" s="1"/>
  <c r="D120" i="3"/>
  <c r="B120" i="3"/>
  <c r="B128" i="3" s="1"/>
  <c r="AF119" i="3"/>
  <c r="AF127" i="3" s="1"/>
  <c r="AD119" i="3"/>
  <c r="AD127" i="3" s="1"/>
  <c r="AC119" i="3"/>
  <c r="AA119" i="3"/>
  <c r="AA127" i="3" s="1"/>
  <c r="Z119" i="3"/>
  <c r="Z127" i="3" s="1"/>
  <c r="X119" i="3"/>
  <c r="X127" i="3" s="1"/>
  <c r="W119" i="3"/>
  <c r="U119" i="3"/>
  <c r="U127" i="3" s="1"/>
  <c r="T119" i="3"/>
  <c r="T127" i="3" s="1"/>
  <c r="R119" i="3"/>
  <c r="R127" i="3" s="1"/>
  <c r="Q119" i="3"/>
  <c r="O119" i="3"/>
  <c r="O127" i="3" s="1"/>
  <c r="N119" i="3"/>
  <c r="N127" i="3" s="1"/>
  <c r="L119" i="3"/>
  <c r="L127" i="3" s="1"/>
  <c r="J119" i="3"/>
  <c r="H119" i="3"/>
  <c r="H127" i="3" s="1"/>
  <c r="G119" i="3"/>
  <c r="G127" i="3" s="1"/>
  <c r="E119" i="3"/>
  <c r="E127" i="3" s="1"/>
  <c r="D119" i="3"/>
  <c r="B119" i="3"/>
  <c r="B127" i="3" s="1"/>
  <c r="AF118" i="3"/>
  <c r="AF126" i="3" s="1"/>
  <c r="AD118" i="3"/>
  <c r="AD126" i="3" s="1"/>
  <c r="AC118" i="3"/>
  <c r="AC126" i="3" s="1"/>
  <c r="AA118" i="3"/>
  <c r="AA126" i="3" s="1"/>
  <c r="Z118" i="3"/>
  <c r="Z126" i="3" s="1"/>
  <c r="X118" i="3"/>
  <c r="X126" i="3" s="1"/>
  <c r="W118" i="3"/>
  <c r="U118" i="3"/>
  <c r="U126" i="3" s="1"/>
  <c r="T118" i="3"/>
  <c r="T126" i="3" s="1"/>
  <c r="R118" i="3"/>
  <c r="Q118" i="3"/>
  <c r="Q126" i="3" s="1"/>
  <c r="O118" i="3"/>
  <c r="O126" i="3" s="1"/>
  <c r="N118" i="3"/>
  <c r="N126" i="3" s="1"/>
  <c r="L118" i="3"/>
  <c r="L126" i="3" s="1"/>
  <c r="J118" i="3"/>
  <c r="H118" i="3"/>
  <c r="H126" i="3" s="1"/>
  <c r="G118" i="3"/>
  <c r="G126" i="3" s="1"/>
  <c r="E118" i="3"/>
  <c r="E126" i="3" s="1"/>
  <c r="D118" i="3"/>
  <c r="D126" i="3" s="1"/>
  <c r="B118" i="3"/>
  <c r="B126" i="3" s="1"/>
  <c r="AF117" i="3"/>
  <c r="AF125" i="3" s="1"/>
  <c r="AD117" i="3"/>
  <c r="AD125" i="3" s="1"/>
  <c r="AC117" i="3"/>
  <c r="AA117" i="3"/>
  <c r="AA125" i="3" s="1"/>
  <c r="Z117" i="3"/>
  <c r="Z125" i="3" s="1"/>
  <c r="X117" i="3"/>
  <c r="W117" i="3"/>
  <c r="W125" i="3" s="1"/>
  <c r="U117" i="3"/>
  <c r="U125" i="3" s="1"/>
  <c r="T117" i="3"/>
  <c r="T125" i="3" s="1"/>
  <c r="R117" i="3"/>
  <c r="R125" i="3" s="1"/>
  <c r="Q117" i="3"/>
  <c r="O117" i="3"/>
  <c r="O125" i="3" s="1"/>
  <c r="N117" i="3"/>
  <c r="N125" i="3" s="1"/>
  <c r="L117" i="3"/>
  <c r="L125" i="3" s="1"/>
  <c r="J117" i="3"/>
  <c r="J125" i="3" s="1"/>
  <c r="H117" i="3"/>
  <c r="H125" i="3" s="1"/>
  <c r="G117" i="3"/>
  <c r="G125" i="3" s="1"/>
  <c r="E117" i="3"/>
  <c r="E125" i="3" s="1"/>
  <c r="D117" i="3"/>
  <c r="B117" i="3"/>
  <c r="B125" i="3" s="1"/>
  <c r="AF116" i="3"/>
  <c r="AD116" i="3"/>
  <c r="AC116" i="3"/>
  <c r="AC121" i="3" s="1"/>
  <c r="AA116" i="3"/>
  <c r="Z116" i="3"/>
  <c r="Z124" i="3" s="1"/>
  <c r="X116" i="3"/>
  <c r="W116" i="3"/>
  <c r="U116" i="3"/>
  <c r="T116" i="3"/>
  <c r="T121" i="3" s="1"/>
  <c r="R116" i="3"/>
  <c r="Q116" i="3"/>
  <c r="O116" i="3"/>
  <c r="O124" i="3" s="1"/>
  <c r="N116" i="3"/>
  <c r="N124" i="3" s="1"/>
  <c r="L116" i="3"/>
  <c r="J116" i="3"/>
  <c r="J121" i="3" s="1"/>
  <c r="H116" i="3"/>
  <c r="H121" i="3" s="1"/>
  <c r="G116" i="3"/>
  <c r="G124" i="3" s="1"/>
  <c r="E116" i="3"/>
  <c r="E150" i="3" s="1"/>
  <c r="D116" i="3"/>
  <c r="D151" i="3" s="1"/>
  <c r="B116" i="3"/>
  <c r="AF115" i="3"/>
  <c r="AD115" i="3"/>
  <c r="AC115" i="3"/>
  <c r="AA115" i="3"/>
  <c r="Z115" i="3"/>
  <c r="X115" i="3"/>
  <c r="W115" i="3"/>
  <c r="U115" i="3"/>
  <c r="T115" i="3"/>
  <c r="R115" i="3"/>
  <c r="AM109" i="3" s="1"/>
  <c r="Q115" i="3"/>
  <c r="O115" i="3"/>
  <c r="N115" i="3"/>
  <c r="L115" i="3"/>
  <c r="AK109" i="3" s="1"/>
  <c r="J115" i="3"/>
  <c r="H115" i="3"/>
  <c r="G115" i="3"/>
  <c r="E115" i="3"/>
  <c r="D115" i="3"/>
  <c r="B115" i="3"/>
  <c r="AE114" i="3"/>
  <c r="AB114" i="3"/>
  <c r="Y114" i="3"/>
  <c r="V114" i="3"/>
  <c r="S114" i="3"/>
  <c r="P114" i="3"/>
  <c r="M114" i="3"/>
  <c r="I114" i="3"/>
  <c r="F114" i="3"/>
  <c r="A114" i="3"/>
  <c r="AQ113" i="3"/>
  <c r="AP113" i="3"/>
  <c r="AO113" i="3"/>
  <c r="AN113" i="3"/>
  <c r="AM113" i="3"/>
  <c r="AL113" i="3"/>
  <c r="AK113" i="3"/>
  <c r="AJ113" i="3"/>
  <c r="AI113" i="3"/>
  <c r="AH113" i="3"/>
  <c r="AG113" i="3"/>
  <c r="AE113" i="3"/>
  <c r="AB113" i="3"/>
  <c r="Y113" i="3"/>
  <c r="V113" i="3"/>
  <c r="S113" i="3"/>
  <c r="P113" i="3"/>
  <c r="M113" i="3"/>
  <c r="I113" i="3"/>
  <c r="F113" i="3"/>
  <c r="A113" i="3"/>
  <c r="AQ112" i="3"/>
  <c r="AP112" i="3"/>
  <c r="AO112" i="3"/>
  <c r="AN112" i="3"/>
  <c r="AM112" i="3"/>
  <c r="AL112" i="3"/>
  <c r="AK112" i="3"/>
  <c r="AJ112" i="3"/>
  <c r="AI112" i="3"/>
  <c r="AH112" i="3"/>
  <c r="AG112" i="3"/>
  <c r="AE112" i="3"/>
  <c r="AB112" i="3"/>
  <c r="Y112" i="3"/>
  <c r="V112" i="3"/>
  <c r="S112" i="3"/>
  <c r="P112" i="3"/>
  <c r="M112" i="3"/>
  <c r="I112" i="3"/>
  <c r="F112" i="3"/>
  <c r="A112" i="3"/>
  <c r="AQ111" i="3"/>
  <c r="AP111" i="3"/>
  <c r="AO111" i="3"/>
  <c r="AN111" i="3"/>
  <c r="AM111" i="3"/>
  <c r="AK111" i="3"/>
  <c r="AJ111" i="3"/>
  <c r="AG111" i="3"/>
  <c r="AE111" i="3"/>
  <c r="AB111" i="3"/>
  <c r="Y111" i="3"/>
  <c r="V111" i="3"/>
  <c r="S111" i="3"/>
  <c r="P111" i="3"/>
  <c r="M111" i="3"/>
  <c r="I111" i="3"/>
  <c r="F111" i="3"/>
  <c r="A111" i="3"/>
  <c r="AQ110" i="3"/>
  <c r="AP110" i="3"/>
  <c r="AO110" i="3"/>
  <c r="AN110" i="3"/>
  <c r="AK110" i="3"/>
  <c r="AI110" i="3"/>
  <c r="AH110" i="3"/>
  <c r="AG110" i="3"/>
  <c r="AE110" i="3"/>
  <c r="AB110" i="3"/>
  <c r="Y110" i="3"/>
  <c r="V110" i="3"/>
  <c r="S110" i="3"/>
  <c r="P110" i="3"/>
  <c r="M110" i="3"/>
  <c r="I110" i="3"/>
  <c r="F110" i="3"/>
  <c r="AQ109" i="3"/>
  <c r="AP109" i="3"/>
  <c r="AO109" i="3"/>
  <c r="AN109" i="3"/>
  <c r="AL109" i="3"/>
  <c r="AI109" i="3"/>
  <c r="AG109" i="3"/>
  <c r="AE109" i="3"/>
  <c r="AB109" i="3"/>
  <c r="Y109" i="3"/>
  <c r="V109" i="3"/>
  <c r="S109" i="3"/>
  <c r="P109" i="3"/>
  <c r="M109" i="3"/>
  <c r="I109" i="3"/>
  <c r="F109" i="3"/>
  <c r="AD107" i="3"/>
  <c r="AA107" i="3"/>
  <c r="X107" i="3"/>
  <c r="U107" i="3"/>
  <c r="R107" i="3"/>
  <c r="O107" i="3"/>
  <c r="L107" i="3"/>
  <c r="H107" i="3"/>
  <c r="E107" i="3"/>
  <c r="E102" i="3"/>
  <c r="E101" i="3"/>
  <c r="B168" i="3" s="1"/>
  <c r="A101" i="3"/>
  <c r="E100" i="3"/>
  <c r="E99" i="3"/>
  <c r="B167" i="3" s="1"/>
  <c r="A99" i="3"/>
  <c r="E98" i="3"/>
  <c r="AB180" i="3" s="1"/>
  <c r="E97" i="3"/>
  <c r="A97" i="3"/>
  <c r="E96" i="3"/>
  <c r="H180" i="3" s="1"/>
  <c r="E95" i="3"/>
  <c r="A95" i="3"/>
  <c r="E94" i="3"/>
  <c r="R180" i="3" s="1"/>
  <c r="E93" i="3"/>
  <c r="A93" i="3"/>
  <c r="S92" i="3"/>
  <c r="M92" i="3"/>
  <c r="K91" i="3"/>
  <c r="A89" i="3"/>
  <c r="AF85" i="3"/>
  <c r="AD85" i="3"/>
  <c r="AC85" i="3"/>
  <c r="AA85" i="3"/>
  <c r="Z85" i="3"/>
  <c r="X85" i="3"/>
  <c r="W85" i="3"/>
  <c r="U85" i="3"/>
  <c r="C83" i="3"/>
  <c r="AF76" i="3"/>
  <c r="AD76" i="3"/>
  <c r="AC76" i="3"/>
  <c r="AA76" i="3"/>
  <c r="Z76" i="3"/>
  <c r="X76" i="3"/>
  <c r="W76" i="3"/>
  <c r="U76" i="3"/>
  <c r="T76" i="3"/>
  <c r="R76" i="3"/>
  <c r="Q76" i="3"/>
  <c r="O76" i="3"/>
  <c r="N76" i="3"/>
  <c r="L76" i="3"/>
  <c r="J76" i="3"/>
  <c r="H76" i="3"/>
  <c r="G76" i="3"/>
  <c r="E76" i="3"/>
  <c r="D76" i="3"/>
  <c r="B76" i="3"/>
  <c r="AF75" i="3"/>
  <c r="AD75" i="3"/>
  <c r="AC75" i="3"/>
  <c r="AA75" i="3"/>
  <c r="Z75" i="3"/>
  <c r="X75" i="3"/>
  <c r="W75" i="3"/>
  <c r="U75" i="3"/>
  <c r="T75" i="3"/>
  <c r="R75" i="3"/>
  <c r="O75" i="3"/>
  <c r="N75" i="3"/>
  <c r="L75" i="3"/>
  <c r="H75" i="3"/>
  <c r="E75" i="3"/>
  <c r="D75" i="3"/>
  <c r="B75" i="3"/>
  <c r="AF74" i="3"/>
  <c r="AD74" i="3"/>
  <c r="AC74" i="3"/>
  <c r="AA74" i="3"/>
  <c r="Z74" i="3"/>
  <c r="X74" i="3"/>
  <c r="W74" i="3"/>
  <c r="U74" i="3"/>
  <c r="T74" i="3"/>
  <c r="R74" i="3"/>
  <c r="Q74" i="3"/>
  <c r="L74" i="3"/>
  <c r="J74" i="3"/>
  <c r="H74" i="3"/>
  <c r="G74" i="3"/>
  <c r="E74" i="3"/>
  <c r="B74" i="3"/>
  <c r="AF73" i="3"/>
  <c r="AD73" i="3"/>
  <c r="AC73" i="3"/>
  <c r="AA73" i="3"/>
  <c r="Z73" i="3"/>
  <c r="X73" i="3"/>
  <c r="W73" i="3"/>
  <c r="U73" i="3"/>
  <c r="R73" i="3"/>
  <c r="Q73" i="3"/>
  <c r="O73" i="3"/>
  <c r="N73" i="3"/>
  <c r="L73" i="3"/>
  <c r="J73" i="3"/>
  <c r="G73" i="3"/>
  <c r="E73" i="3"/>
  <c r="D73" i="3"/>
  <c r="AF72" i="3"/>
  <c r="AD72" i="3"/>
  <c r="AC72" i="3"/>
  <c r="AA72" i="3"/>
  <c r="Z72" i="3"/>
  <c r="X72" i="3"/>
  <c r="W72" i="3"/>
  <c r="U72" i="3"/>
  <c r="T72" i="3"/>
  <c r="Q72" i="3"/>
  <c r="O72" i="3"/>
  <c r="N72" i="3"/>
  <c r="J72" i="3"/>
  <c r="H72" i="3"/>
  <c r="G72" i="3"/>
  <c r="D72" i="3"/>
  <c r="B72" i="3"/>
  <c r="AF68" i="3"/>
  <c r="AD68" i="3"/>
  <c r="AC68" i="3"/>
  <c r="AA68" i="3"/>
  <c r="Z68" i="3"/>
  <c r="X68" i="3"/>
  <c r="W68" i="3"/>
  <c r="U68" i="3"/>
  <c r="T68" i="3"/>
  <c r="R68" i="3"/>
  <c r="Q68" i="3"/>
  <c r="O68" i="3"/>
  <c r="N68" i="3"/>
  <c r="L68" i="3"/>
  <c r="J68" i="3"/>
  <c r="H68" i="3"/>
  <c r="G68" i="3"/>
  <c r="E68" i="3"/>
  <c r="D68" i="3"/>
  <c r="B68" i="3"/>
  <c r="AF67" i="3"/>
  <c r="AD67" i="3"/>
  <c r="AC67" i="3"/>
  <c r="AA67" i="3"/>
  <c r="Z67" i="3"/>
  <c r="X67" i="3"/>
  <c r="W67" i="3"/>
  <c r="U67" i="3"/>
  <c r="T67" i="3"/>
  <c r="R67" i="3"/>
  <c r="O67" i="3"/>
  <c r="N67" i="3"/>
  <c r="L67" i="3"/>
  <c r="H67" i="3"/>
  <c r="E67" i="3"/>
  <c r="D67" i="3"/>
  <c r="B67" i="3"/>
  <c r="AF66" i="3"/>
  <c r="AD66" i="3"/>
  <c r="AC66" i="3"/>
  <c r="AA66" i="3"/>
  <c r="AB71" i="3" s="1"/>
  <c r="Z66" i="3"/>
  <c r="X66" i="3"/>
  <c r="W66" i="3"/>
  <c r="U66" i="3"/>
  <c r="V71" i="3" s="1"/>
  <c r="T66" i="3"/>
  <c r="R66" i="3"/>
  <c r="Q66" i="3"/>
  <c r="L66" i="3"/>
  <c r="J66" i="3"/>
  <c r="H66" i="3"/>
  <c r="G66" i="3"/>
  <c r="E66" i="3"/>
  <c r="B66" i="3"/>
  <c r="AF65" i="3"/>
  <c r="AD65" i="3"/>
  <c r="AC65" i="3"/>
  <c r="AA65" i="3"/>
  <c r="Z65" i="3"/>
  <c r="X65" i="3"/>
  <c r="W65" i="3"/>
  <c r="U65" i="3"/>
  <c r="R65" i="3"/>
  <c r="Q65" i="3"/>
  <c r="O65" i="3"/>
  <c r="N65" i="3"/>
  <c r="L65" i="3"/>
  <c r="J65" i="3"/>
  <c r="G65" i="3"/>
  <c r="E65" i="3"/>
  <c r="D65" i="3"/>
  <c r="AF64" i="3"/>
  <c r="AD64" i="3"/>
  <c r="AC64" i="3"/>
  <c r="AA64" i="3"/>
  <c r="Z64" i="3"/>
  <c r="X64" i="3"/>
  <c r="W64" i="3"/>
  <c r="U64" i="3"/>
  <c r="T64" i="3"/>
  <c r="Q64" i="3"/>
  <c r="O64" i="3"/>
  <c r="N64" i="3"/>
  <c r="J64" i="3"/>
  <c r="H64" i="3"/>
  <c r="G64" i="3"/>
  <c r="D64" i="3"/>
  <c r="B64" i="3"/>
  <c r="AF62" i="3"/>
  <c r="AD62" i="3"/>
  <c r="AC62" i="3"/>
  <c r="AA62" i="3"/>
  <c r="Z62" i="3"/>
  <c r="X62" i="3"/>
  <c r="W62" i="3"/>
  <c r="U62" i="3"/>
  <c r="T62" i="3"/>
  <c r="R62" i="3"/>
  <c r="Q62" i="3"/>
  <c r="O62" i="3"/>
  <c r="N62" i="3"/>
  <c r="L62" i="3"/>
  <c r="J62" i="3"/>
  <c r="H62" i="3"/>
  <c r="G62" i="3"/>
  <c r="E62" i="3"/>
  <c r="D62" i="3"/>
  <c r="B62" i="3"/>
  <c r="AF61" i="3"/>
  <c r="AD61" i="3"/>
  <c r="AC61" i="3"/>
  <c r="AA61" i="3"/>
  <c r="Z61" i="3"/>
  <c r="X61" i="3"/>
  <c r="W61" i="3"/>
  <c r="U61" i="3"/>
  <c r="T61" i="3"/>
  <c r="R61" i="3"/>
  <c r="O61" i="3"/>
  <c r="N61" i="3"/>
  <c r="L61" i="3"/>
  <c r="H61" i="3"/>
  <c r="E61" i="3"/>
  <c r="D61" i="3"/>
  <c r="B61" i="3"/>
  <c r="AF60" i="3"/>
  <c r="AD60" i="3"/>
  <c r="AC60" i="3"/>
  <c r="AA60" i="3"/>
  <c r="Z60" i="3"/>
  <c r="X60" i="3"/>
  <c r="W60" i="3"/>
  <c r="U60" i="3"/>
  <c r="T60" i="3"/>
  <c r="R60" i="3"/>
  <c r="Q60" i="3"/>
  <c r="L60" i="3"/>
  <c r="J60" i="3"/>
  <c r="H60" i="3"/>
  <c r="G60" i="3"/>
  <c r="E60" i="3"/>
  <c r="B60" i="3"/>
  <c r="AF59" i="3"/>
  <c r="AD59" i="3"/>
  <c r="AC59" i="3"/>
  <c r="AA59" i="3"/>
  <c r="Z59" i="3"/>
  <c r="X59" i="3"/>
  <c r="W59" i="3"/>
  <c r="U59" i="3"/>
  <c r="R59" i="3"/>
  <c r="Q59" i="3"/>
  <c r="O59" i="3"/>
  <c r="N59" i="3"/>
  <c r="L59" i="3"/>
  <c r="J59" i="3"/>
  <c r="G59" i="3"/>
  <c r="E59" i="3"/>
  <c r="D59" i="3"/>
  <c r="AF58" i="3"/>
  <c r="AD58" i="3"/>
  <c r="AC58" i="3"/>
  <c r="AA58" i="3"/>
  <c r="Z58" i="3"/>
  <c r="X58" i="3"/>
  <c r="W58" i="3"/>
  <c r="U58" i="3"/>
  <c r="T58" i="3"/>
  <c r="Q58" i="3"/>
  <c r="O58" i="3"/>
  <c r="N58" i="3"/>
  <c r="J58" i="3"/>
  <c r="H58" i="3"/>
  <c r="G58" i="3"/>
  <c r="D58" i="3"/>
  <c r="B58" i="3"/>
  <c r="AF56" i="3"/>
  <c r="AD56" i="3"/>
  <c r="AC56" i="3"/>
  <c r="AA56" i="3"/>
  <c r="Z56" i="3"/>
  <c r="X56" i="3"/>
  <c r="W56" i="3"/>
  <c r="U56" i="3"/>
  <c r="T56" i="3"/>
  <c r="R56" i="3"/>
  <c r="Q56" i="3"/>
  <c r="O56" i="3"/>
  <c r="N56" i="3"/>
  <c r="L56" i="3"/>
  <c r="J56" i="3"/>
  <c r="H56" i="3"/>
  <c r="G56" i="3"/>
  <c r="E56" i="3"/>
  <c r="D56" i="3"/>
  <c r="B56" i="3"/>
  <c r="AF55" i="3"/>
  <c r="AD55" i="3"/>
  <c r="AC55" i="3"/>
  <c r="AA55" i="3"/>
  <c r="Z55" i="3"/>
  <c r="X55" i="3"/>
  <c r="W55" i="3"/>
  <c r="U55" i="3"/>
  <c r="T55" i="3"/>
  <c r="R55" i="3"/>
  <c r="O55" i="3"/>
  <c r="N55" i="3"/>
  <c r="L55" i="3"/>
  <c r="H55" i="3"/>
  <c r="E55" i="3"/>
  <c r="D55" i="3"/>
  <c r="B55" i="3"/>
  <c r="AF54" i="3"/>
  <c r="AD54" i="3"/>
  <c r="AC54" i="3"/>
  <c r="AA54" i="3"/>
  <c r="Z54" i="3"/>
  <c r="X54" i="3"/>
  <c r="W54" i="3"/>
  <c r="U54" i="3"/>
  <c r="T54" i="3"/>
  <c r="R54" i="3"/>
  <c r="Q54" i="3"/>
  <c r="L54" i="3"/>
  <c r="J54" i="3"/>
  <c r="H54" i="3"/>
  <c r="G54" i="3"/>
  <c r="E54" i="3"/>
  <c r="B54" i="3"/>
  <c r="AF53" i="3"/>
  <c r="AD53" i="3"/>
  <c r="AC53" i="3"/>
  <c r="AA53" i="3"/>
  <c r="Z53" i="3"/>
  <c r="X53" i="3"/>
  <c r="W53" i="3"/>
  <c r="U53" i="3"/>
  <c r="R53" i="3"/>
  <c r="Q53" i="3"/>
  <c r="O53" i="3"/>
  <c r="N53" i="3"/>
  <c r="L53" i="3"/>
  <c r="J53" i="3"/>
  <c r="G53" i="3"/>
  <c r="E53" i="3"/>
  <c r="D53" i="3"/>
  <c r="AF52" i="3"/>
  <c r="AD52" i="3"/>
  <c r="AC52" i="3"/>
  <c r="AA52" i="3"/>
  <c r="Z52" i="3"/>
  <c r="X52" i="3"/>
  <c r="W52" i="3"/>
  <c r="U52" i="3"/>
  <c r="T52" i="3"/>
  <c r="Q52" i="3"/>
  <c r="O52" i="3"/>
  <c r="N52" i="3"/>
  <c r="J52" i="3"/>
  <c r="H52" i="3"/>
  <c r="G52" i="3"/>
  <c r="D52" i="3"/>
  <c r="B52" i="3"/>
  <c r="AF50" i="3"/>
  <c r="AD50" i="3"/>
  <c r="AC50" i="3"/>
  <c r="AA50" i="3"/>
  <c r="Z50" i="3"/>
  <c r="X50" i="3"/>
  <c r="W50" i="3"/>
  <c r="U50" i="3"/>
  <c r="T50" i="3"/>
  <c r="R50" i="3"/>
  <c r="Q50" i="3"/>
  <c r="O50" i="3"/>
  <c r="N50" i="3"/>
  <c r="L50" i="3"/>
  <c r="J50" i="3"/>
  <c r="H50" i="3"/>
  <c r="G50" i="3"/>
  <c r="E50" i="3"/>
  <c r="D50" i="3"/>
  <c r="B50" i="3"/>
  <c r="AF49" i="3"/>
  <c r="AD49" i="3"/>
  <c r="AC49" i="3"/>
  <c r="AA49" i="3"/>
  <c r="Z49" i="3"/>
  <c r="X49" i="3"/>
  <c r="W49" i="3"/>
  <c r="U49" i="3"/>
  <c r="T49" i="3"/>
  <c r="R49" i="3"/>
  <c r="O49" i="3"/>
  <c r="N49" i="3"/>
  <c r="L49" i="3"/>
  <c r="H49" i="3"/>
  <c r="E49" i="3"/>
  <c r="D49" i="3"/>
  <c r="B49" i="3"/>
  <c r="AF48" i="3"/>
  <c r="AD48" i="3"/>
  <c r="AC48" i="3"/>
  <c r="AA48" i="3"/>
  <c r="Z48" i="3"/>
  <c r="X48" i="3"/>
  <c r="W48" i="3"/>
  <c r="U48" i="3"/>
  <c r="T48" i="3"/>
  <c r="R48" i="3"/>
  <c r="Q48" i="3"/>
  <c r="L48" i="3"/>
  <c r="J48" i="3"/>
  <c r="H48" i="3"/>
  <c r="G48" i="3"/>
  <c r="E48" i="3"/>
  <c r="B48" i="3"/>
  <c r="AF47" i="3"/>
  <c r="AD47" i="3"/>
  <c r="AC47" i="3"/>
  <c r="AA47" i="3"/>
  <c r="Z47" i="3"/>
  <c r="X47" i="3"/>
  <c r="W47" i="3"/>
  <c r="U47" i="3"/>
  <c r="R47" i="3"/>
  <c r="Q47" i="3"/>
  <c r="O47" i="3"/>
  <c r="N47" i="3"/>
  <c r="L47" i="3"/>
  <c r="J47" i="3"/>
  <c r="G47" i="3"/>
  <c r="E47" i="3"/>
  <c r="D47" i="3"/>
  <c r="AF46" i="3"/>
  <c r="AD46" i="3"/>
  <c r="AC46" i="3"/>
  <c r="AA46" i="3"/>
  <c r="Z46" i="3"/>
  <c r="X46" i="3"/>
  <c r="W46" i="3"/>
  <c r="U46" i="3"/>
  <c r="T46" i="3"/>
  <c r="Q46" i="3"/>
  <c r="O46" i="3"/>
  <c r="N46" i="3"/>
  <c r="J46" i="3"/>
  <c r="H46" i="3"/>
  <c r="G46" i="3"/>
  <c r="D46" i="3"/>
  <c r="B46" i="3"/>
  <c r="AD43" i="3"/>
  <c r="X43" i="3"/>
  <c r="H43" i="3"/>
  <c r="E43" i="3"/>
  <c r="AD42" i="3"/>
  <c r="O42" i="3"/>
  <c r="L42" i="3"/>
  <c r="E42" i="3"/>
  <c r="U41" i="3"/>
  <c r="R41" i="3"/>
  <c r="L41" i="3"/>
  <c r="AA40" i="3"/>
  <c r="X40" i="3"/>
  <c r="R40" i="3"/>
  <c r="B40" i="3"/>
  <c r="AD39" i="3"/>
  <c r="X39" i="3"/>
  <c r="AF35" i="3"/>
  <c r="AF43" i="3" s="1"/>
  <c r="AD35" i="3"/>
  <c r="AC35" i="3"/>
  <c r="AC43" i="3" s="1"/>
  <c r="AA35" i="3"/>
  <c r="AA43" i="3" s="1"/>
  <c r="Z35" i="3"/>
  <c r="Z43" i="3" s="1"/>
  <c r="X35" i="3"/>
  <c r="W35" i="3"/>
  <c r="W43" i="3" s="1"/>
  <c r="U35" i="3"/>
  <c r="U43" i="3" s="1"/>
  <c r="T35" i="3"/>
  <c r="T43" i="3" s="1"/>
  <c r="R35" i="3"/>
  <c r="R43" i="3" s="1"/>
  <c r="Q35" i="3"/>
  <c r="Q43" i="3" s="1"/>
  <c r="O35" i="3"/>
  <c r="O43" i="3" s="1"/>
  <c r="N35" i="3"/>
  <c r="N43" i="3" s="1"/>
  <c r="L35" i="3"/>
  <c r="L43" i="3" s="1"/>
  <c r="J35" i="3"/>
  <c r="J43" i="3" s="1"/>
  <c r="H35" i="3"/>
  <c r="G35" i="3"/>
  <c r="G43" i="3" s="1"/>
  <c r="E35" i="3"/>
  <c r="D35" i="3"/>
  <c r="D43" i="3" s="1"/>
  <c r="B35" i="3"/>
  <c r="B43" i="3" s="1"/>
  <c r="AF34" i="3"/>
  <c r="AF42" i="3" s="1"/>
  <c r="AD34" i="3"/>
  <c r="AC34" i="3"/>
  <c r="AC42" i="3" s="1"/>
  <c r="AA34" i="3"/>
  <c r="AA42" i="3" s="1"/>
  <c r="Z34" i="3"/>
  <c r="Z42" i="3" s="1"/>
  <c r="X34" i="3"/>
  <c r="X42" i="3" s="1"/>
  <c r="W34" i="3"/>
  <c r="W42" i="3" s="1"/>
  <c r="U34" i="3"/>
  <c r="U42" i="3" s="1"/>
  <c r="T34" i="3"/>
  <c r="T42" i="3" s="1"/>
  <c r="R34" i="3"/>
  <c r="R42" i="3" s="1"/>
  <c r="Q34" i="3"/>
  <c r="Q42" i="3" s="1"/>
  <c r="O34" i="3"/>
  <c r="N34" i="3"/>
  <c r="N42" i="3" s="1"/>
  <c r="L34" i="3"/>
  <c r="J34" i="3"/>
  <c r="J42" i="3" s="1"/>
  <c r="H34" i="3"/>
  <c r="H42" i="3" s="1"/>
  <c r="G34" i="3"/>
  <c r="G42" i="3" s="1"/>
  <c r="E34" i="3"/>
  <c r="D34" i="3"/>
  <c r="D42" i="3" s="1"/>
  <c r="B34" i="3"/>
  <c r="B42" i="3" s="1"/>
  <c r="AF33" i="3"/>
  <c r="AF41" i="3" s="1"/>
  <c r="AD33" i="3"/>
  <c r="AD41" i="3" s="1"/>
  <c r="AC33" i="3"/>
  <c r="AC41" i="3" s="1"/>
  <c r="AA33" i="3"/>
  <c r="AA41" i="3" s="1"/>
  <c r="Z33" i="3"/>
  <c r="Z41" i="3" s="1"/>
  <c r="X33" i="3"/>
  <c r="X41" i="3" s="1"/>
  <c r="W33" i="3"/>
  <c r="W41" i="3" s="1"/>
  <c r="U33" i="3"/>
  <c r="T33" i="3"/>
  <c r="T41" i="3" s="1"/>
  <c r="R33" i="3"/>
  <c r="Q33" i="3"/>
  <c r="Q41" i="3" s="1"/>
  <c r="O33" i="3"/>
  <c r="O41" i="3" s="1"/>
  <c r="N33" i="3"/>
  <c r="N41" i="3" s="1"/>
  <c r="L33" i="3"/>
  <c r="J33" i="3"/>
  <c r="J41" i="3" s="1"/>
  <c r="H33" i="3"/>
  <c r="H41" i="3" s="1"/>
  <c r="G33" i="3"/>
  <c r="G41" i="3" s="1"/>
  <c r="E33" i="3"/>
  <c r="E41" i="3" s="1"/>
  <c r="D33" i="3"/>
  <c r="D41" i="3" s="1"/>
  <c r="B33" i="3"/>
  <c r="B41" i="3" s="1"/>
  <c r="AF32" i="3"/>
  <c r="AF40" i="3" s="1"/>
  <c r="AD32" i="3"/>
  <c r="AD40" i="3" s="1"/>
  <c r="AC32" i="3"/>
  <c r="AC40" i="3" s="1"/>
  <c r="AA32" i="3"/>
  <c r="Z32" i="3"/>
  <c r="Z40" i="3" s="1"/>
  <c r="X32" i="3"/>
  <c r="W32" i="3"/>
  <c r="W40" i="3" s="1"/>
  <c r="U32" i="3"/>
  <c r="U40" i="3" s="1"/>
  <c r="T32" i="3"/>
  <c r="T40" i="3" s="1"/>
  <c r="R32" i="3"/>
  <c r="Q32" i="3"/>
  <c r="Q40" i="3" s="1"/>
  <c r="O32" i="3"/>
  <c r="O40" i="3" s="1"/>
  <c r="N32" i="3"/>
  <c r="N40" i="3" s="1"/>
  <c r="L32" i="3"/>
  <c r="L40" i="3" s="1"/>
  <c r="J32" i="3"/>
  <c r="J40" i="3" s="1"/>
  <c r="H32" i="3"/>
  <c r="H40" i="3" s="1"/>
  <c r="G32" i="3"/>
  <c r="G40" i="3" s="1"/>
  <c r="E32" i="3"/>
  <c r="E40" i="3" s="1"/>
  <c r="D32" i="3"/>
  <c r="D40" i="3" s="1"/>
  <c r="B32" i="3"/>
  <c r="AF31" i="3"/>
  <c r="AF39" i="3" s="1"/>
  <c r="AD31" i="3"/>
  <c r="AD36" i="3" s="1"/>
  <c r="AC31" i="3"/>
  <c r="AC39" i="3" s="1"/>
  <c r="AA31" i="3"/>
  <c r="AA36" i="3" s="1"/>
  <c r="Z31" i="3"/>
  <c r="Z39" i="3" s="1"/>
  <c r="X31" i="3"/>
  <c r="X36" i="3" s="1"/>
  <c r="W31" i="3"/>
  <c r="W39" i="3" s="1"/>
  <c r="U31" i="3"/>
  <c r="U36" i="3" s="1"/>
  <c r="T31" i="3"/>
  <c r="R31" i="3"/>
  <c r="R64" i="3" s="1"/>
  <c r="Q31" i="3"/>
  <c r="Q67" i="3" s="1"/>
  <c r="O31" i="3"/>
  <c r="O39" i="3" s="1"/>
  <c r="N31" i="3"/>
  <c r="L31" i="3"/>
  <c r="L64" i="3" s="1"/>
  <c r="J31" i="3"/>
  <c r="J67" i="3" s="1"/>
  <c r="H31" i="3"/>
  <c r="H36" i="3" s="1"/>
  <c r="G31" i="3"/>
  <c r="E31" i="3"/>
  <c r="E64" i="3" s="1"/>
  <c r="D31" i="3"/>
  <c r="D66" i="3" s="1"/>
  <c r="B31" i="3"/>
  <c r="B36" i="3" s="1"/>
  <c r="AF30" i="3"/>
  <c r="AD30" i="3"/>
  <c r="AC30" i="3"/>
  <c r="AA30" i="3"/>
  <c r="Z30" i="3"/>
  <c r="X30" i="3"/>
  <c r="W30" i="3"/>
  <c r="U30" i="3"/>
  <c r="T30" i="3"/>
  <c r="AM25" i="3" s="1"/>
  <c r="R30" i="3"/>
  <c r="Q30" i="3"/>
  <c r="O30" i="3"/>
  <c r="N30" i="3"/>
  <c r="L30" i="3"/>
  <c r="AK24" i="3" s="1"/>
  <c r="J30" i="3"/>
  <c r="AJ27" i="3" s="1"/>
  <c r="H30" i="3"/>
  <c r="AJ25" i="3" s="1"/>
  <c r="G30" i="3"/>
  <c r="E30" i="3"/>
  <c r="AI27" i="3" s="1"/>
  <c r="D30" i="3"/>
  <c r="AH26" i="3" s="1"/>
  <c r="B30" i="3"/>
  <c r="AE29" i="3"/>
  <c r="AB29" i="3"/>
  <c r="Y29" i="3"/>
  <c r="V29" i="3"/>
  <c r="S29" i="3"/>
  <c r="P29" i="3"/>
  <c r="M29" i="3"/>
  <c r="I29" i="3"/>
  <c r="F29" i="3"/>
  <c r="A29" i="3"/>
  <c r="AQ28" i="3"/>
  <c r="AP28" i="3"/>
  <c r="AO28" i="3"/>
  <c r="AN28" i="3"/>
  <c r="AM28" i="3"/>
  <c r="AL28" i="3"/>
  <c r="AK28" i="3"/>
  <c r="AJ28" i="3"/>
  <c r="AI28" i="3"/>
  <c r="AH28" i="3"/>
  <c r="AG28" i="3"/>
  <c r="AE28" i="3"/>
  <c r="AB28" i="3"/>
  <c r="Y28" i="3"/>
  <c r="V28" i="3"/>
  <c r="S28" i="3"/>
  <c r="P28" i="3"/>
  <c r="M28" i="3"/>
  <c r="I28" i="3"/>
  <c r="F28" i="3"/>
  <c r="A28" i="3"/>
  <c r="AQ27" i="3"/>
  <c r="AP27" i="3"/>
  <c r="AO27" i="3"/>
  <c r="AN27" i="3"/>
  <c r="AM27" i="3"/>
  <c r="AK27" i="3"/>
  <c r="AH27" i="3"/>
  <c r="AG27" i="3"/>
  <c r="AE27" i="3"/>
  <c r="AB27" i="3"/>
  <c r="Y27" i="3"/>
  <c r="V27" i="3"/>
  <c r="S27" i="3"/>
  <c r="P27" i="3"/>
  <c r="M27" i="3"/>
  <c r="I27" i="3"/>
  <c r="F27" i="3"/>
  <c r="A27" i="3"/>
  <c r="AQ26" i="3"/>
  <c r="AP26" i="3"/>
  <c r="AO26" i="3"/>
  <c r="AN26" i="3"/>
  <c r="AM26" i="3"/>
  <c r="AK26" i="3"/>
  <c r="AJ26" i="3"/>
  <c r="AI26" i="3"/>
  <c r="AG26" i="3"/>
  <c r="AE26" i="3"/>
  <c r="AB26" i="3"/>
  <c r="Y26" i="3"/>
  <c r="V26" i="3"/>
  <c r="S26" i="3"/>
  <c r="P26" i="3"/>
  <c r="M26" i="3"/>
  <c r="I26" i="3"/>
  <c r="F26" i="3"/>
  <c r="A26" i="3"/>
  <c r="AQ25" i="3"/>
  <c r="AP25" i="3"/>
  <c r="AO25" i="3"/>
  <c r="AN25" i="3"/>
  <c r="AL25" i="3"/>
  <c r="AK25" i="3"/>
  <c r="AI25" i="3"/>
  <c r="AH25" i="3"/>
  <c r="AG25" i="3"/>
  <c r="AE25" i="3"/>
  <c r="AB25" i="3"/>
  <c r="Y25" i="3"/>
  <c r="V25" i="3"/>
  <c r="S25" i="3"/>
  <c r="P25" i="3"/>
  <c r="M25" i="3"/>
  <c r="I25" i="3"/>
  <c r="F25" i="3"/>
  <c r="AQ24" i="3"/>
  <c r="AP24" i="3"/>
  <c r="AO24" i="3"/>
  <c r="AN24" i="3"/>
  <c r="AL24" i="3"/>
  <c r="AJ24" i="3"/>
  <c r="AH24" i="3"/>
  <c r="AG24" i="3"/>
  <c r="AE24" i="3"/>
  <c r="AB24" i="3"/>
  <c r="Y24" i="3"/>
  <c r="V24" i="3"/>
  <c r="S24" i="3"/>
  <c r="P24" i="3"/>
  <c r="M24" i="3"/>
  <c r="I24" i="3"/>
  <c r="F24" i="3"/>
  <c r="AD22" i="3"/>
  <c r="AA22" i="3"/>
  <c r="X22" i="3"/>
  <c r="U22" i="3"/>
  <c r="R22" i="3"/>
  <c r="O22" i="3"/>
  <c r="L22" i="3"/>
  <c r="H22" i="3"/>
  <c r="E22" i="3"/>
  <c r="E17" i="3"/>
  <c r="E16" i="3"/>
  <c r="B83" i="3" s="1"/>
  <c r="AT83" i="3" s="1"/>
  <c r="A16" i="3"/>
  <c r="E15" i="3"/>
  <c r="AB179" i="3" s="1"/>
  <c r="E14" i="3"/>
  <c r="A14" i="3"/>
  <c r="E13" i="3"/>
  <c r="H179" i="3" s="1"/>
  <c r="E12" i="3"/>
  <c r="A12" i="3"/>
  <c r="E11" i="3"/>
  <c r="AL179" i="3" s="1"/>
  <c r="AV8" i="4" s="1"/>
  <c r="E10" i="3"/>
  <c r="A10" i="3"/>
  <c r="E9" i="3"/>
  <c r="R179" i="3" s="1"/>
  <c r="E8" i="3"/>
  <c r="A8" i="3"/>
  <c r="S7" i="3"/>
  <c r="M7" i="3"/>
  <c r="K6" i="3"/>
  <c r="D183" i="5" l="1"/>
  <c r="C184" i="5"/>
  <c r="D330" i="5"/>
  <c r="D331" i="5" s="1"/>
  <c r="D332" i="5" s="1"/>
  <c r="D333" i="5" s="1"/>
  <c r="D334" i="5" s="1"/>
  <c r="C331" i="5"/>
  <c r="C332" i="5" s="1"/>
  <c r="C333" i="5" s="1"/>
  <c r="C334" i="5" s="1"/>
  <c r="C335" i="5" s="1"/>
  <c r="G124" i="4"/>
  <c r="AM25" i="4"/>
  <c r="R64" i="4"/>
  <c r="S71" i="4" s="1"/>
  <c r="T73" i="4" s="1"/>
  <c r="O39" i="4"/>
  <c r="AK24" i="4"/>
  <c r="AK26" i="4"/>
  <c r="L64" i="4"/>
  <c r="M71" i="4" s="1"/>
  <c r="L72" i="4" s="1"/>
  <c r="AJ27" i="4"/>
  <c r="J37" i="4"/>
  <c r="J49" i="4" s="1"/>
  <c r="AI27" i="4"/>
  <c r="E64" i="4"/>
  <c r="F71" i="4" s="1"/>
  <c r="G75" i="4" s="1"/>
  <c r="B39" i="4"/>
  <c r="AR28" i="4"/>
  <c r="X16" i="4" s="1"/>
  <c r="X44" i="4"/>
  <c r="AD44" i="4"/>
  <c r="G39" i="4"/>
  <c r="E44" i="4" s="1"/>
  <c r="G61" i="4" s="1"/>
  <c r="T39" i="4"/>
  <c r="R44" i="4" s="1"/>
  <c r="AF39" i="4"/>
  <c r="AR112" i="4"/>
  <c r="X99" i="4" s="1"/>
  <c r="AF124" i="4"/>
  <c r="H39" i="4"/>
  <c r="H44" i="4" s="1"/>
  <c r="U39" i="4"/>
  <c r="AG50" i="4"/>
  <c r="M16" i="4" s="1"/>
  <c r="AG56" i="4"/>
  <c r="AG62" i="4"/>
  <c r="AA16" i="4" s="1"/>
  <c r="B65" i="4"/>
  <c r="H65" i="4"/>
  <c r="AM110" i="4"/>
  <c r="AI111" i="4"/>
  <c r="L36" i="4"/>
  <c r="N39" i="4"/>
  <c r="L44" i="4" s="1"/>
  <c r="Z39" i="4"/>
  <c r="AG76" i="4"/>
  <c r="AD16" i="4" s="1"/>
  <c r="AL111" i="4"/>
  <c r="AM110" i="3"/>
  <c r="N121" i="3"/>
  <c r="AJ110" i="3"/>
  <c r="J150" i="3"/>
  <c r="AJ109" i="3"/>
  <c r="J124" i="3"/>
  <c r="AI111" i="3"/>
  <c r="E121" i="3"/>
  <c r="E124" i="3"/>
  <c r="E129" i="3" s="1"/>
  <c r="AH111" i="3"/>
  <c r="AR112" i="3"/>
  <c r="X99" i="3" s="1"/>
  <c r="AM24" i="3"/>
  <c r="AL26" i="3"/>
  <c r="O66" i="3"/>
  <c r="P71" i="3" s="1"/>
  <c r="AL27" i="3"/>
  <c r="AR27" i="3" s="1"/>
  <c r="X14" i="3" s="1"/>
  <c r="H39" i="3"/>
  <c r="AR28" i="3"/>
  <c r="X16" i="3" s="1"/>
  <c r="AI24" i="3"/>
  <c r="AR24" i="3" s="1"/>
  <c r="X8" i="3" s="1"/>
  <c r="E39" i="3"/>
  <c r="AG68" i="3"/>
  <c r="AR25" i="3"/>
  <c r="X10" i="3" s="1"/>
  <c r="AR26" i="3"/>
  <c r="X12" i="3" s="1"/>
  <c r="AG50" i="3"/>
  <c r="M16" i="3" s="1"/>
  <c r="AG56" i="3"/>
  <c r="AD44" i="3"/>
  <c r="AG64" i="3"/>
  <c r="H122" i="3"/>
  <c r="E144" i="3"/>
  <c r="G145" i="3"/>
  <c r="X37" i="3"/>
  <c r="Y37" i="3" s="1"/>
  <c r="U37" i="3"/>
  <c r="AD37" i="3"/>
  <c r="AE37" i="3" s="1"/>
  <c r="D36" i="3"/>
  <c r="J36" i="3"/>
  <c r="Q36" i="3"/>
  <c r="W36" i="3"/>
  <c r="AC36" i="3"/>
  <c r="Q39" i="3"/>
  <c r="O44" i="3" s="1"/>
  <c r="X44" i="3"/>
  <c r="AV9" i="4"/>
  <c r="K212" i="3"/>
  <c r="B179" i="3"/>
  <c r="B81" i="3"/>
  <c r="E36" i="3"/>
  <c r="L36" i="3"/>
  <c r="R36" i="3"/>
  <c r="B39" i="3"/>
  <c r="J39" i="3"/>
  <c r="H44" i="3" s="1"/>
  <c r="R39" i="3"/>
  <c r="AA39" i="3"/>
  <c r="AA44" i="3" s="1"/>
  <c r="AG62" i="3"/>
  <c r="AA16" i="3" s="1"/>
  <c r="K213" i="3"/>
  <c r="AT167" i="3"/>
  <c r="C167" i="3"/>
  <c r="D167" i="3" s="1"/>
  <c r="G167" i="3" s="1"/>
  <c r="J167" i="3" s="1"/>
  <c r="N167" i="3" s="1"/>
  <c r="Q167" i="3" s="1"/>
  <c r="T167" i="3" s="1"/>
  <c r="W167" i="3" s="1"/>
  <c r="Z167" i="3" s="1"/>
  <c r="AC170" i="3" s="1"/>
  <c r="AH109" i="3"/>
  <c r="L149" i="3"/>
  <c r="L124" i="3"/>
  <c r="L129" i="3" s="1"/>
  <c r="L121" i="3"/>
  <c r="R149" i="3"/>
  <c r="R124" i="3"/>
  <c r="X149" i="3"/>
  <c r="Y156" i="3" s="1"/>
  <c r="X121" i="3"/>
  <c r="X122" i="3" s="1"/>
  <c r="X124" i="3"/>
  <c r="X129" i="3" s="1"/>
  <c r="AD149" i="3"/>
  <c r="AE156" i="3" s="1"/>
  <c r="AD121" i="3"/>
  <c r="Z122" i="3"/>
  <c r="Z135" i="3" s="1"/>
  <c r="AF231" i="3"/>
  <c r="AF233" i="3" s="1"/>
  <c r="AC203" i="3"/>
  <c r="V180" i="3"/>
  <c r="B166" i="3"/>
  <c r="AC122" i="3"/>
  <c r="AC134" i="3" s="1"/>
  <c r="AG134" i="3" s="1"/>
  <c r="M99" i="3" s="1"/>
  <c r="L179" i="3"/>
  <c r="B79" i="3"/>
  <c r="AF179" i="3"/>
  <c r="B80" i="3"/>
  <c r="V179" i="3"/>
  <c r="B82" i="3"/>
  <c r="G67" i="3"/>
  <c r="AG67" i="3" s="1"/>
  <c r="G39" i="3"/>
  <c r="E44" i="3" s="1"/>
  <c r="N39" i="3"/>
  <c r="N66" i="3"/>
  <c r="M71" i="3" s="1"/>
  <c r="T65" i="3"/>
  <c r="S71" i="3" s="1"/>
  <c r="T39" i="3"/>
  <c r="G36" i="3"/>
  <c r="N36" i="3"/>
  <c r="T36" i="3"/>
  <c r="Z36" i="3"/>
  <c r="Z37" i="3" s="1"/>
  <c r="AF36" i="3"/>
  <c r="AF37" i="3" s="1"/>
  <c r="D39" i="3"/>
  <c r="L39" i="3"/>
  <c r="U39" i="3"/>
  <c r="U44" i="3" s="1"/>
  <c r="B65" i="3"/>
  <c r="H65" i="3"/>
  <c r="I71" i="3" s="1"/>
  <c r="L180" i="3"/>
  <c r="B164" i="3"/>
  <c r="K211" i="3"/>
  <c r="C168" i="3"/>
  <c r="D168" i="3" s="1"/>
  <c r="G168" i="3" s="1"/>
  <c r="J168" i="3" s="1"/>
  <c r="N168" i="3" s="1"/>
  <c r="Q168" i="3" s="1"/>
  <c r="T168" i="3" s="1"/>
  <c r="W168" i="3" s="1"/>
  <c r="Z170" i="3" s="1"/>
  <c r="AT168" i="3"/>
  <c r="AH212" i="3"/>
  <c r="E98" i="4"/>
  <c r="H180" i="4" s="1"/>
  <c r="K211" i="4" s="1"/>
  <c r="AV3" i="4"/>
  <c r="K210" i="3"/>
  <c r="AV4" i="4"/>
  <c r="AH210" i="3"/>
  <c r="O36" i="3"/>
  <c r="Y71" i="3"/>
  <c r="AE71" i="3"/>
  <c r="D83" i="3"/>
  <c r="G83" i="3" s="1"/>
  <c r="J83" i="3" s="1"/>
  <c r="N83" i="3" s="1"/>
  <c r="Q83" i="3" s="1"/>
  <c r="T83" i="3" s="1"/>
  <c r="W83" i="3" s="1"/>
  <c r="Z83" i="3" s="1"/>
  <c r="AC83" i="3" s="1"/>
  <c r="AF83" i="3" s="1"/>
  <c r="AU83" i="3" s="1"/>
  <c r="AG76" i="3"/>
  <c r="B180" i="3"/>
  <c r="B165" i="3"/>
  <c r="AV5" i="4"/>
  <c r="AH211" i="3"/>
  <c r="AR113" i="3"/>
  <c r="X101" i="3" s="1"/>
  <c r="AL111" i="3"/>
  <c r="AR111" i="3" s="1"/>
  <c r="X97" i="3" s="1"/>
  <c r="AL110" i="3"/>
  <c r="AR110" i="3" s="1"/>
  <c r="X95" i="3" s="1"/>
  <c r="B149" i="3"/>
  <c r="B124" i="3"/>
  <c r="H149" i="3"/>
  <c r="I156" i="3" s="1"/>
  <c r="J122" i="3" s="1"/>
  <c r="J132" i="3" s="1"/>
  <c r="H124" i="3"/>
  <c r="O150" i="3"/>
  <c r="O121" i="3"/>
  <c r="U150" i="3"/>
  <c r="U124" i="3"/>
  <c r="U129" i="3" s="1"/>
  <c r="AA151" i="3"/>
  <c r="AB156" i="3" s="1"/>
  <c r="AA124" i="3"/>
  <c r="AA129" i="3" s="1"/>
  <c r="AA121" i="3"/>
  <c r="AA122" i="3" s="1"/>
  <c r="B121" i="3"/>
  <c r="R121" i="3"/>
  <c r="AG152" i="3"/>
  <c r="E72" i="4"/>
  <c r="N74" i="4"/>
  <c r="R72" i="4"/>
  <c r="U86" i="3"/>
  <c r="U87" i="3" s="1"/>
  <c r="Q151" i="3"/>
  <c r="Q121" i="3"/>
  <c r="W151" i="3"/>
  <c r="W121" i="3"/>
  <c r="W122" i="3" s="1"/>
  <c r="W133" i="3" s="1"/>
  <c r="D121" i="3"/>
  <c r="Q124" i="3"/>
  <c r="O129" i="3" s="1"/>
  <c r="AC152" i="3"/>
  <c r="AG153" i="3"/>
  <c r="F203" i="3"/>
  <c r="J231" i="3"/>
  <c r="Y230" i="3"/>
  <c r="Z230" i="3" s="1"/>
  <c r="AC230" i="3" s="1"/>
  <c r="AT233" i="3"/>
  <c r="AH26" i="4"/>
  <c r="AH25" i="4"/>
  <c r="AA86" i="4"/>
  <c r="AA87" i="4" s="1"/>
  <c r="AG135" i="3"/>
  <c r="M101" i="3" s="1"/>
  <c r="V156" i="3"/>
  <c r="G151" i="3"/>
  <c r="F156" i="3" s="1"/>
  <c r="N151" i="3"/>
  <c r="AG151" i="3" s="1"/>
  <c r="D232" i="3"/>
  <c r="B232" i="3"/>
  <c r="H218" i="3"/>
  <c r="AC232" i="3"/>
  <c r="AA232" i="3"/>
  <c r="J232" i="3"/>
  <c r="H232" i="3"/>
  <c r="K223" i="3"/>
  <c r="J198" i="3" s="1"/>
  <c r="G232" i="3"/>
  <c r="U37" i="4"/>
  <c r="V37" i="4" s="1"/>
  <c r="X86" i="3"/>
  <c r="X87" i="3" s="1"/>
  <c r="AD86" i="3"/>
  <c r="AD87" i="3" s="1"/>
  <c r="T150" i="3"/>
  <c r="T124" i="3"/>
  <c r="AF150" i="3"/>
  <c r="AF124" i="3"/>
  <c r="AD129" i="3" s="1"/>
  <c r="G121" i="3"/>
  <c r="G122" i="3" s="1"/>
  <c r="G133" i="3" s="1"/>
  <c r="AF121" i="3"/>
  <c r="AF122" i="3" s="1"/>
  <c r="AF132" i="3" s="1"/>
  <c r="D124" i="3"/>
  <c r="AC124" i="3"/>
  <c r="R36" i="4"/>
  <c r="AG68" i="4"/>
  <c r="Z233" i="3"/>
  <c r="AT83" i="4"/>
  <c r="AM24" i="4"/>
  <c r="AR27" i="4"/>
  <c r="X14" i="4" s="1"/>
  <c r="X36" i="4"/>
  <c r="X37" i="4" s="1"/>
  <c r="AG64" i="4"/>
  <c r="V71" i="4"/>
  <c r="AG66" i="4"/>
  <c r="AD218" i="3"/>
  <c r="AG223" i="3"/>
  <c r="AG198" i="3" s="1"/>
  <c r="AI24" i="4"/>
  <c r="AJ25" i="4"/>
  <c r="AL26" i="4"/>
  <c r="AA37" i="4"/>
  <c r="AB37" i="4" s="1"/>
  <c r="E36" i="4"/>
  <c r="AD36" i="4"/>
  <c r="AD37" i="4" s="1"/>
  <c r="G36" i="4"/>
  <c r="N36" i="4"/>
  <c r="T36" i="4"/>
  <c r="D39" i="4"/>
  <c r="B44" i="4" s="1"/>
  <c r="J39" i="4"/>
  <c r="Q39" i="4"/>
  <c r="O44" i="4" s="1"/>
  <c r="W39" i="4"/>
  <c r="U44" i="4" s="1"/>
  <c r="AC39" i="4"/>
  <c r="AA44" i="4" s="1"/>
  <c r="J67" i="4"/>
  <c r="I71" i="4" s="1"/>
  <c r="Q67" i="4"/>
  <c r="P71" i="4" s="1"/>
  <c r="U86" i="4"/>
  <c r="U87" i="4" s="1"/>
  <c r="O36" i="4"/>
  <c r="O37" i="4" s="1"/>
  <c r="AB71" i="4"/>
  <c r="AH109" i="4"/>
  <c r="AH111" i="4"/>
  <c r="AJ110" i="4"/>
  <c r="AJ109" i="4"/>
  <c r="D151" i="4"/>
  <c r="D124" i="4"/>
  <c r="J150" i="4"/>
  <c r="J124" i="4"/>
  <c r="Q151" i="4"/>
  <c r="Q124" i="4"/>
  <c r="W151" i="4"/>
  <c r="W124" i="4"/>
  <c r="AC152" i="4"/>
  <c r="AC124" i="4"/>
  <c r="J121" i="4"/>
  <c r="D36" i="4"/>
  <c r="W86" i="4"/>
  <c r="W87" i="4" s="1"/>
  <c r="AC86" i="4"/>
  <c r="AC87" i="4" s="1"/>
  <c r="AT167" i="4"/>
  <c r="AT168" i="4"/>
  <c r="E150" i="4"/>
  <c r="E124" i="4"/>
  <c r="L124" i="4"/>
  <c r="L149" i="4"/>
  <c r="M156" i="4" s="1"/>
  <c r="R124" i="4"/>
  <c r="R149" i="4"/>
  <c r="S156" i="4" s="1"/>
  <c r="X124" i="4"/>
  <c r="X149" i="4"/>
  <c r="Y156" i="4" s="1"/>
  <c r="AD124" i="4"/>
  <c r="AD129" i="4" s="1"/>
  <c r="AD149" i="4"/>
  <c r="AE156" i="4" s="1"/>
  <c r="E121" i="4"/>
  <c r="L121" i="4"/>
  <c r="R121" i="4"/>
  <c r="X121" i="4"/>
  <c r="X122" i="4" s="1"/>
  <c r="AD121" i="4"/>
  <c r="N124" i="4"/>
  <c r="Z232" i="4"/>
  <c r="Z233" i="4" s="1"/>
  <c r="X232" i="4"/>
  <c r="AD218" i="4"/>
  <c r="AF232" i="4"/>
  <c r="AD232" i="4"/>
  <c r="G121" i="4"/>
  <c r="N121" i="4"/>
  <c r="T121" i="4"/>
  <c r="Z121" i="4"/>
  <c r="AF121" i="4"/>
  <c r="AF122" i="4" s="1"/>
  <c r="AF132" i="4" s="1"/>
  <c r="T124" i="4"/>
  <c r="AG153" i="4"/>
  <c r="AF86" i="4"/>
  <c r="AF87" i="4" s="1"/>
  <c r="B149" i="4"/>
  <c r="B124" i="4"/>
  <c r="H149" i="4"/>
  <c r="H124" i="4"/>
  <c r="O150" i="4"/>
  <c r="P156" i="4" s="1"/>
  <c r="O124" i="4"/>
  <c r="U150" i="4"/>
  <c r="U124" i="4"/>
  <c r="U129" i="4" s="1"/>
  <c r="AA151" i="4"/>
  <c r="AB156" i="4" s="1"/>
  <c r="AA124" i="4"/>
  <c r="B121" i="4"/>
  <c r="H121" i="4"/>
  <c r="O121" i="4"/>
  <c r="O122" i="4" s="1"/>
  <c r="U121" i="4"/>
  <c r="U122" i="4" s="1"/>
  <c r="AA121" i="4"/>
  <c r="AA122" i="4" s="1"/>
  <c r="Z124" i="4"/>
  <c r="AG152" i="4"/>
  <c r="H218" i="4"/>
  <c r="D232" i="4"/>
  <c r="B232" i="4"/>
  <c r="J232" i="4"/>
  <c r="H232" i="4"/>
  <c r="AC232" i="4"/>
  <c r="AF218" i="4"/>
  <c r="AG223" i="4" s="1"/>
  <c r="AG198" i="4" s="1"/>
  <c r="AA232" i="4"/>
  <c r="G232" i="4"/>
  <c r="J218" i="4"/>
  <c r="E232" i="4"/>
  <c r="V156" i="4"/>
  <c r="Z231" i="2"/>
  <c r="X230" i="2"/>
  <c r="AT233" i="2" s="1"/>
  <c r="AF221" i="2"/>
  <c r="AD221" i="2"/>
  <c r="AC221" i="2"/>
  <c r="AA221" i="2"/>
  <c r="Z221" i="2"/>
  <c r="X221" i="2"/>
  <c r="J221" i="2"/>
  <c r="H221" i="2"/>
  <c r="G221" i="2"/>
  <c r="E221" i="2"/>
  <c r="D221" i="2"/>
  <c r="B221" i="2"/>
  <c r="AF220" i="2"/>
  <c r="AD220" i="2"/>
  <c r="AC220" i="2"/>
  <c r="AA220" i="2"/>
  <c r="Z220" i="2"/>
  <c r="X220" i="2"/>
  <c r="J220" i="2"/>
  <c r="H220" i="2"/>
  <c r="G220" i="2"/>
  <c r="E220" i="2"/>
  <c r="D220" i="2"/>
  <c r="B220" i="2"/>
  <c r="AF219" i="2"/>
  <c r="AF222" i="2" s="1"/>
  <c r="AD219" i="2"/>
  <c r="AD222" i="2" s="1"/>
  <c r="AC219" i="2"/>
  <c r="AA219" i="2"/>
  <c r="Z219" i="2"/>
  <c r="Z222" i="2" s="1"/>
  <c r="X219" i="2"/>
  <c r="X222" i="2" s="1"/>
  <c r="J219" i="2"/>
  <c r="J222" i="2" s="1"/>
  <c r="H219" i="2"/>
  <c r="H222" i="2" s="1"/>
  <c r="G219" i="2"/>
  <c r="G222" i="2" s="1"/>
  <c r="E219" i="2"/>
  <c r="E222" i="2" s="1"/>
  <c r="D219" i="2"/>
  <c r="B219" i="2"/>
  <c r="V195" i="2"/>
  <c r="AB180" i="2"/>
  <c r="V180" i="2"/>
  <c r="R180" i="2"/>
  <c r="L180" i="2"/>
  <c r="H180" i="2"/>
  <c r="AV6" i="1" s="1"/>
  <c r="B180" i="2"/>
  <c r="AL179" i="2"/>
  <c r="AF179" i="2"/>
  <c r="AU8" i="1" s="1"/>
  <c r="AB179" i="2"/>
  <c r="V179" i="2"/>
  <c r="R179" i="2"/>
  <c r="L179" i="2"/>
  <c r="H179" i="2"/>
  <c r="B179" i="2"/>
  <c r="A174" i="2"/>
  <c r="AF161" i="2"/>
  <c r="AD161" i="2"/>
  <c r="AC161" i="2"/>
  <c r="AA161" i="2"/>
  <c r="X161" i="2"/>
  <c r="W161" i="2"/>
  <c r="U161" i="2"/>
  <c r="T161" i="2"/>
  <c r="R161" i="2"/>
  <c r="Q161" i="2"/>
  <c r="O161" i="2"/>
  <c r="N161" i="2"/>
  <c r="L161" i="2"/>
  <c r="J161" i="2"/>
  <c r="H161" i="2"/>
  <c r="G161" i="2"/>
  <c r="E161" i="2"/>
  <c r="D161" i="2"/>
  <c r="B161" i="2"/>
  <c r="AF160" i="2"/>
  <c r="AD160" i="2"/>
  <c r="AA160" i="2"/>
  <c r="Z160" i="2"/>
  <c r="X160" i="2"/>
  <c r="W160" i="2"/>
  <c r="U160" i="2"/>
  <c r="T160" i="2"/>
  <c r="R160" i="2"/>
  <c r="Q160" i="2"/>
  <c r="O160" i="2"/>
  <c r="N160" i="2"/>
  <c r="L160" i="2"/>
  <c r="J160" i="2"/>
  <c r="H160" i="2"/>
  <c r="G160" i="2"/>
  <c r="E160" i="2"/>
  <c r="D160" i="2"/>
  <c r="B160" i="2"/>
  <c r="AF159" i="2"/>
  <c r="AD159" i="2"/>
  <c r="AC159" i="2"/>
  <c r="Z159" i="2"/>
  <c r="X159" i="2"/>
  <c r="U159" i="2"/>
  <c r="R159" i="2"/>
  <c r="O159" i="2"/>
  <c r="L159" i="2"/>
  <c r="H159" i="2"/>
  <c r="E159" i="2"/>
  <c r="B159" i="2"/>
  <c r="AD158" i="2"/>
  <c r="AC158" i="2"/>
  <c r="AA158" i="2"/>
  <c r="Z158" i="2"/>
  <c r="X158" i="2"/>
  <c r="W158" i="2"/>
  <c r="R158" i="2"/>
  <c r="Q158" i="2"/>
  <c r="L158" i="2"/>
  <c r="H158" i="2"/>
  <c r="G158" i="2"/>
  <c r="B158" i="2"/>
  <c r="AF157" i="2"/>
  <c r="AC157" i="2"/>
  <c r="AA157" i="2"/>
  <c r="Z157" i="2"/>
  <c r="W157" i="2"/>
  <c r="U157" i="2"/>
  <c r="T157" i="2"/>
  <c r="Q157" i="2"/>
  <c r="O157" i="2"/>
  <c r="N157" i="2"/>
  <c r="J157" i="2"/>
  <c r="G157" i="2"/>
  <c r="E157" i="2"/>
  <c r="D157" i="2"/>
  <c r="AF153" i="2"/>
  <c r="AD153" i="2"/>
  <c r="AC153" i="2"/>
  <c r="AA153" i="2"/>
  <c r="X153" i="2"/>
  <c r="W153" i="2"/>
  <c r="U153" i="2"/>
  <c r="T153" i="2"/>
  <c r="R153" i="2"/>
  <c r="Q153" i="2"/>
  <c r="O153" i="2"/>
  <c r="N153" i="2"/>
  <c r="L153" i="2"/>
  <c r="J153" i="2"/>
  <c r="H153" i="2"/>
  <c r="G153" i="2"/>
  <c r="E153" i="2"/>
  <c r="D153" i="2"/>
  <c r="B153" i="2"/>
  <c r="AF152" i="2"/>
  <c r="AD152" i="2"/>
  <c r="AA152" i="2"/>
  <c r="Z152" i="2"/>
  <c r="X152" i="2"/>
  <c r="W152" i="2"/>
  <c r="U152" i="2"/>
  <c r="T152" i="2"/>
  <c r="R152" i="2"/>
  <c r="Q152" i="2"/>
  <c r="O152" i="2"/>
  <c r="N152" i="2"/>
  <c r="L152" i="2"/>
  <c r="J152" i="2"/>
  <c r="H152" i="2"/>
  <c r="G152" i="2"/>
  <c r="E152" i="2"/>
  <c r="D152" i="2"/>
  <c r="B152" i="2"/>
  <c r="AF151" i="2"/>
  <c r="AD151" i="2"/>
  <c r="AC151" i="2"/>
  <c r="Z151" i="2"/>
  <c r="X151" i="2"/>
  <c r="U151" i="2"/>
  <c r="R151" i="2"/>
  <c r="O151" i="2"/>
  <c r="L151" i="2"/>
  <c r="H151" i="2"/>
  <c r="E151" i="2"/>
  <c r="B151" i="2"/>
  <c r="AD150" i="2"/>
  <c r="AC150" i="2"/>
  <c r="AA150" i="2"/>
  <c r="Z150" i="2"/>
  <c r="X150" i="2"/>
  <c r="W150" i="2"/>
  <c r="R150" i="2"/>
  <c r="Q150" i="2"/>
  <c r="L150" i="2"/>
  <c r="H150" i="2"/>
  <c r="G150" i="2"/>
  <c r="B150" i="2"/>
  <c r="AF149" i="2"/>
  <c r="AC149" i="2"/>
  <c r="AA149" i="2"/>
  <c r="Z149" i="2"/>
  <c r="W149" i="2"/>
  <c r="U149" i="2"/>
  <c r="T149" i="2"/>
  <c r="Q149" i="2"/>
  <c r="O149" i="2"/>
  <c r="N149" i="2"/>
  <c r="J149" i="2"/>
  <c r="G149" i="2"/>
  <c r="E149" i="2"/>
  <c r="D149" i="2"/>
  <c r="AF147" i="2"/>
  <c r="AD147" i="2"/>
  <c r="AC147" i="2"/>
  <c r="AA147" i="2"/>
  <c r="X147" i="2"/>
  <c r="W147" i="2"/>
  <c r="U147" i="2"/>
  <c r="T147" i="2"/>
  <c r="R147" i="2"/>
  <c r="Q147" i="2"/>
  <c r="O147" i="2"/>
  <c r="N147" i="2"/>
  <c r="L147" i="2"/>
  <c r="J147" i="2"/>
  <c r="H147" i="2"/>
  <c r="G147" i="2"/>
  <c r="E147" i="2"/>
  <c r="D147" i="2"/>
  <c r="B147" i="2"/>
  <c r="AF146" i="2"/>
  <c r="AD146" i="2"/>
  <c r="AA146" i="2"/>
  <c r="Z146" i="2"/>
  <c r="X146" i="2"/>
  <c r="W146" i="2"/>
  <c r="U146" i="2"/>
  <c r="T146" i="2"/>
  <c r="R146" i="2"/>
  <c r="Q146" i="2"/>
  <c r="O146" i="2"/>
  <c r="N146" i="2"/>
  <c r="L146" i="2"/>
  <c r="J146" i="2"/>
  <c r="H146" i="2"/>
  <c r="G146" i="2"/>
  <c r="E146" i="2"/>
  <c r="D146" i="2"/>
  <c r="B146" i="2"/>
  <c r="AF145" i="2"/>
  <c r="AD145" i="2"/>
  <c r="AC145" i="2"/>
  <c r="Z145" i="2"/>
  <c r="X145" i="2"/>
  <c r="U145" i="2"/>
  <c r="R145" i="2"/>
  <c r="O145" i="2"/>
  <c r="L145" i="2"/>
  <c r="H145" i="2"/>
  <c r="E145" i="2"/>
  <c r="B145" i="2"/>
  <c r="AD144" i="2"/>
  <c r="AC144" i="2"/>
  <c r="AA144" i="2"/>
  <c r="Z144" i="2"/>
  <c r="X144" i="2"/>
  <c r="W144" i="2"/>
  <c r="R144" i="2"/>
  <c r="Q144" i="2"/>
  <c r="L144" i="2"/>
  <c r="H144" i="2"/>
  <c r="G144" i="2"/>
  <c r="B144" i="2"/>
  <c r="AF143" i="2"/>
  <c r="AC143" i="2"/>
  <c r="AA143" i="2"/>
  <c r="Z143" i="2"/>
  <c r="W143" i="2"/>
  <c r="U143" i="2"/>
  <c r="T143" i="2"/>
  <c r="Q143" i="2"/>
  <c r="O143" i="2"/>
  <c r="N143" i="2"/>
  <c r="J143" i="2"/>
  <c r="G143" i="2"/>
  <c r="E143" i="2"/>
  <c r="D143" i="2"/>
  <c r="AF141" i="2"/>
  <c r="AD141" i="2"/>
  <c r="AC141" i="2"/>
  <c r="AA141" i="2"/>
  <c r="X141" i="2"/>
  <c r="W141" i="2"/>
  <c r="U141" i="2"/>
  <c r="T141" i="2"/>
  <c r="R141" i="2"/>
  <c r="Q141" i="2"/>
  <c r="O141" i="2"/>
  <c r="N141" i="2"/>
  <c r="L141" i="2"/>
  <c r="J141" i="2"/>
  <c r="H141" i="2"/>
  <c r="G141" i="2"/>
  <c r="E141" i="2"/>
  <c r="D141" i="2"/>
  <c r="B141" i="2"/>
  <c r="AF140" i="2"/>
  <c r="AD140" i="2"/>
  <c r="AA140" i="2"/>
  <c r="Z140" i="2"/>
  <c r="X140" i="2"/>
  <c r="W140" i="2"/>
  <c r="U140" i="2"/>
  <c r="T140" i="2"/>
  <c r="R140" i="2"/>
  <c r="Q140" i="2"/>
  <c r="O140" i="2"/>
  <c r="N140" i="2"/>
  <c r="L140" i="2"/>
  <c r="J140" i="2"/>
  <c r="H140" i="2"/>
  <c r="G140" i="2"/>
  <c r="E140" i="2"/>
  <c r="D140" i="2"/>
  <c r="B140" i="2"/>
  <c r="AF139" i="2"/>
  <c r="AD139" i="2"/>
  <c r="AC139" i="2"/>
  <c r="Z139" i="2"/>
  <c r="X139" i="2"/>
  <c r="U139" i="2"/>
  <c r="R139" i="2"/>
  <c r="O139" i="2"/>
  <c r="L139" i="2"/>
  <c r="H139" i="2"/>
  <c r="E139" i="2"/>
  <c r="B139" i="2"/>
  <c r="AD138" i="2"/>
  <c r="AC138" i="2"/>
  <c r="AA138" i="2"/>
  <c r="Z138" i="2"/>
  <c r="X138" i="2"/>
  <c r="W138" i="2"/>
  <c r="R138" i="2"/>
  <c r="Q138" i="2"/>
  <c r="L138" i="2"/>
  <c r="H138" i="2"/>
  <c r="G138" i="2"/>
  <c r="B138" i="2"/>
  <c r="AF137" i="2"/>
  <c r="AC137" i="2"/>
  <c r="AA137" i="2"/>
  <c r="Z137" i="2"/>
  <c r="W137" i="2"/>
  <c r="U137" i="2"/>
  <c r="T137" i="2"/>
  <c r="Q137" i="2"/>
  <c r="O137" i="2"/>
  <c r="N137" i="2"/>
  <c r="J137" i="2"/>
  <c r="G137" i="2"/>
  <c r="E137" i="2"/>
  <c r="D137" i="2"/>
  <c r="AF135" i="2"/>
  <c r="AD135" i="2"/>
  <c r="AC135" i="2"/>
  <c r="AA135" i="2"/>
  <c r="X135" i="2"/>
  <c r="W135" i="2"/>
  <c r="U135" i="2"/>
  <c r="T135" i="2"/>
  <c r="R135" i="2"/>
  <c r="Q135" i="2"/>
  <c r="O135" i="2"/>
  <c r="N135" i="2"/>
  <c r="L135" i="2"/>
  <c r="J135" i="2"/>
  <c r="H135" i="2"/>
  <c r="G135" i="2"/>
  <c r="E135" i="2"/>
  <c r="D135" i="2"/>
  <c r="B135" i="2"/>
  <c r="AF134" i="2"/>
  <c r="AD134" i="2"/>
  <c r="AA134" i="2"/>
  <c r="Z134" i="2"/>
  <c r="X134" i="2"/>
  <c r="W134" i="2"/>
  <c r="U134" i="2"/>
  <c r="T134" i="2"/>
  <c r="R134" i="2"/>
  <c r="Q134" i="2"/>
  <c r="O134" i="2"/>
  <c r="N134" i="2"/>
  <c r="L134" i="2"/>
  <c r="J134" i="2"/>
  <c r="H134" i="2"/>
  <c r="G134" i="2"/>
  <c r="E134" i="2"/>
  <c r="D134" i="2"/>
  <c r="B134" i="2"/>
  <c r="AF133" i="2"/>
  <c r="AD133" i="2"/>
  <c r="AC133" i="2"/>
  <c r="Z133" i="2"/>
  <c r="X133" i="2"/>
  <c r="U133" i="2"/>
  <c r="R133" i="2"/>
  <c r="O133" i="2"/>
  <c r="L133" i="2"/>
  <c r="H133" i="2"/>
  <c r="E133" i="2"/>
  <c r="B133" i="2"/>
  <c r="AD132" i="2"/>
  <c r="AC132" i="2"/>
  <c r="AA132" i="2"/>
  <c r="Z132" i="2"/>
  <c r="X132" i="2"/>
  <c r="W132" i="2"/>
  <c r="R132" i="2"/>
  <c r="Q132" i="2"/>
  <c r="L132" i="2"/>
  <c r="H132" i="2"/>
  <c r="G132" i="2"/>
  <c r="B132" i="2"/>
  <c r="AF131" i="2"/>
  <c r="AC131" i="2"/>
  <c r="AA131" i="2"/>
  <c r="Z131" i="2"/>
  <c r="W131" i="2"/>
  <c r="U131" i="2"/>
  <c r="T131" i="2"/>
  <c r="Q131" i="2"/>
  <c r="O131" i="2"/>
  <c r="N131" i="2"/>
  <c r="J131" i="2"/>
  <c r="G131" i="2"/>
  <c r="E131" i="2"/>
  <c r="D131" i="2"/>
  <c r="AF120" i="2"/>
  <c r="AF128" i="2" s="1"/>
  <c r="AD120" i="2"/>
  <c r="AD128" i="2" s="1"/>
  <c r="AC120" i="2"/>
  <c r="AC128" i="2" s="1"/>
  <c r="AA120" i="2"/>
  <c r="AA128" i="2" s="1"/>
  <c r="Z120" i="2"/>
  <c r="Z128" i="2" s="1"/>
  <c r="X120" i="2"/>
  <c r="X128" i="2" s="1"/>
  <c r="W120" i="2"/>
  <c r="W128" i="2" s="1"/>
  <c r="U120" i="2"/>
  <c r="U128" i="2" s="1"/>
  <c r="T120" i="2"/>
  <c r="T128" i="2" s="1"/>
  <c r="R120" i="2"/>
  <c r="R128" i="2" s="1"/>
  <c r="Q120" i="2"/>
  <c r="Q128" i="2" s="1"/>
  <c r="O120" i="2"/>
  <c r="O128" i="2" s="1"/>
  <c r="N120" i="2"/>
  <c r="N128" i="2" s="1"/>
  <c r="L120" i="2"/>
  <c r="L128" i="2" s="1"/>
  <c r="J120" i="2"/>
  <c r="J128" i="2" s="1"/>
  <c r="H120" i="2"/>
  <c r="H128" i="2" s="1"/>
  <c r="G120" i="2"/>
  <c r="G128" i="2" s="1"/>
  <c r="E120" i="2"/>
  <c r="E128" i="2" s="1"/>
  <c r="D120" i="2"/>
  <c r="D128" i="2" s="1"/>
  <c r="B120" i="2"/>
  <c r="B128" i="2" s="1"/>
  <c r="AF119" i="2"/>
  <c r="AF127" i="2" s="1"/>
  <c r="AD119" i="2"/>
  <c r="AD127" i="2" s="1"/>
  <c r="AC119" i="2"/>
  <c r="AC127" i="2" s="1"/>
  <c r="AA119" i="2"/>
  <c r="AA127" i="2" s="1"/>
  <c r="Z119" i="2"/>
  <c r="Z127" i="2" s="1"/>
  <c r="X119" i="2"/>
  <c r="X127" i="2" s="1"/>
  <c r="W119" i="2"/>
  <c r="W127" i="2" s="1"/>
  <c r="U119" i="2"/>
  <c r="U127" i="2" s="1"/>
  <c r="T119" i="2"/>
  <c r="T127" i="2" s="1"/>
  <c r="R119" i="2"/>
  <c r="R127" i="2" s="1"/>
  <c r="Q119" i="2"/>
  <c r="Q127" i="2" s="1"/>
  <c r="O119" i="2"/>
  <c r="O127" i="2" s="1"/>
  <c r="N119" i="2"/>
  <c r="N127" i="2" s="1"/>
  <c r="L119" i="2"/>
  <c r="L127" i="2" s="1"/>
  <c r="J119" i="2"/>
  <c r="J127" i="2" s="1"/>
  <c r="H119" i="2"/>
  <c r="H127" i="2" s="1"/>
  <c r="G119" i="2"/>
  <c r="G127" i="2" s="1"/>
  <c r="E119" i="2"/>
  <c r="E127" i="2" s="1"/>
  <c r="D119" i="2"/>
  <c r="D127" i="2" s="1"/>
  <c r="B119" i="2"/>
  <c r="B127" i="2" s="1"/>
  <c r="AF118" i="2"/>
  <c r="AF126" i="2" s="1"/>
  <c r="AD118" i="2"/>
  <c r="AD126" i="2" s="1"/>
  <c r="AC118" i="2"/>
  <c r="AC126" i="2" s="1"/>
  <c r="AA118" i="2"/>
  <c r="AA126" i="2" s="1"/>
  <c r="Z118" i="2"/>
  <c r="Z126" i="2" s="1"/>
  <c r="X118" i="2"/>
  <c r="X126" i="2" s="1"/>
  <c r="W118" i="2"/>
  <c r="W126" i="2" s="1"/>
  <c r="U118" i="2"/>
  <c r="U126" i="2" s="1"/>
  <c r="T118" i="2"/>
  <c r="T126" i="2" s="1"/>
  <c r="R118" i="2"/>
  <c r="R126" i="2" s="1"/>
  <c r="Q118" i="2"/>
  <c r="Q126" i="2" s="1"/>
  <c r="O118" i="2"/>
  <c r="O126" i="2" s="1"/>
  <c r="N118" i="2"/>
  <c r="N126" i="2" s="1"/>
  <c r="L118" i="2"/>
  <c r="L126" i="2" s="1"/>
  <c r="J118" i="2"/>
  <c r="J126" i="2" s="1"/>
  <c r="H118" i="2"/>
  <c r="H126" i="2" s="1"/>
  <c r="G118" i="2"/>
  <c r="G126" i="2" s="1"/>
  <c r="E118" i="2"/>
  <c r="E126" i="2" s="1"/>
  <c r="D118" i="2"/>
  <c r="D126" i="2" s="1"/>
  <c r="B118" i="2"/>
  <c r="B126" i="2" s="1"/>
  <c r="AF117" i="2"/>
  <c r="AF125" i="2" s="1"/>
  <c r="AD117" i="2"/>
  <c r="AD125" i="2" s="1"/>
  <c r="AC117" i="2"/>
  <c r="AC125" i="2" s="1"/>
  <c r="AA117" i="2"/>
  <c r="AA125" i="2" s="1"/>
  <c r="Z117" i="2"/>
  <c r="Z125" i="2" s="1"/>
  <c r="X117" i="2"/>
  <c r="X125" i="2" s="1"/>
  <c r="W117" i="2"/>
  <c r="W125" i="2" s="1"/>
  <c r="U117" i="2"/>
  <c r="U125" i="2" s="1"/>
  <c r="T117" i="2"/>
  <c r="T125" i="2" s="1"/>
  <c r="R117" i="2"/>
  <c r="R125" i="2" s="1"/>
  <c r="Q117" i="2"/>
  <c r="Q125" i="2" s="1"/>
  <c r="O117" i="2"/>
  <c r="O125" i="2" s="1"/>
  <c r="N117" i="2"/>
  <c r="N125" i="2" s="1"/>
  <c r="L117" i="2"/>
  <c r="L125" i="2" s="1"/>
  <c r="J117" i="2"/>
  <c r="J125" i="2" s="1"/>
  <c r="H117" i="2"/>
  <c r="H125" i="2" s="1"/>
  <c r="G117" i="2"/>
  <c r="G125" i="2" s="1"/>
  <c r="E117" i="2"/>
  <c r="E125" i="2" s="1"/>
  <c r="D117" i="2"/>
  <c r="D125" i="2" s="1"/>
  <c r="B117" i="2"/>
  <c r="B125" i="2" s="1"/>
  <c r="AF116" i="2"/>
  <c r="AF150" i="2" s="1"/>
  <c r="AD116" i="2"/>
  <c r="AD124" i="2" s="1"/>
  <c r="AC116" i="2"/>
  <c r="AA116" i="2"/>
  <c r="AA121" i="2" s="1"/>
  <c r="Z116" i="2"/>
  <c r="Z124" i="2" s="1"/>
  <c r="X116" i="2"/>
  <c r="X124" i="2" s="1"/>
  <c r="W116" i="2"/>
  <c r="U116" i="2"/>
  <c r="U124" i="2" s="1"/>
  <c r="T116" i="2"/>
  <c r="T151" i="2" s="1"/>
  <c r="R116" i="2"/>
  <c r="R124" i="2" s="1"/>
  <c r="Q116" i="2"/>
  <c r="O116" i="2"/>
  <c r="O121" i="2" s="1"/>
  <c r="N116" i="2"/>
  <c r="N124" i="2" s="1"/>
  <c r="L116" i="2"/>
  <c r="L124" i="2" s="1"/>
  <c r="J116" i="2"/>
  <c r="H116" i="2"/>
  <c r="H124" i="2" s="1"/>
  <c r="G116" i="2"/>
  <c r="G151" i="2" s="1"/>
  <c r="E116" i="2"/>
  <c r="E150" i="2" s="1"/>
  <c r="D116" i="2"/>
  <c r="B116" i="2"/>
  <c r="B149" i="2" s="1"/>
  <c r="AF115" i="2"/>
  <c r="AD115" i="2"/>
  <c r="AC115" i="2"/>
  <c r="AA115" i="2"/>
  <c r="Z115" i="2"/>
  <c r="X115" i="2"/>
  <c r="W115" i="2"/>
  <c r="U115" i="2"/>
  <c r="T115" i="2"/>
  <c r="R115" i="2"/>
  <c r="AM110" i="2" s="1"/>
  <c r="Q115" i="2"/>
  <c r="O115" i="2"/>
  <c r="N115" i="2"/>
  <c r="L115" i="2"/>
  <c r="AK109" i="2" s="1"/>
  <c r="J115" i="2"/>
  <c r="H115" i="2"/>
  <c r="AJ109" i="2" s="1"/>
  <c r="G115" i="2"/>
  <c r="E115" i="2"/>
  <c r="D115" i="2"/>
  <c r="AH110" i="2" s="1"/>
  <c r="B115" i="2"/>
  <c r="AE114" i="2"/>
  <c r="AB114" i="2"/>
  <c r="Y114" i="2"/>
  <c r="V114" i="2"/>
  <c r="S114" i="2"/>
  <c r="P114" i="2"/>
  <c r="M114" i="2"/>
  <c r="I114" i="2"/>
  <c r="F114" i="2"/>
  <c r="A114" i="2"/>
  <c r="AQ113" i="2"/>
  <c r="AP113" i="2"/>
  <c r="AO113" i="2"/>
  <c r="AN113" i="2"/>
  <c r="AM113" i="2"/>
  <c r="AL113" i="2"/>
  <c r="AK113" i="2"/>
  <c r="AJ113" i="2"/>
  <c r="AI113" i="2"/>
  <c r="AH113" i="2"/>
  <c r="AG113" i="2"/>
  <c r="AE113" i="2"/>
  <c r="AB113" i="2"/>
  <c r="Y113" i="2"/>
  <c r="V113" i="2"/>
  <c r="S113" i="2"/>
  <c r="P113" i="2"/>
  <c r="M113" i="2"/>
  <c r="I113" i="2"/>
  <c r="F113" i="2"/>
  <c r="A113" i="2"/>
  <c r="AQ112" i="2"/>
  <c r="AP112" i="2"/>
  <c r="AO112" i="2"/>
  <c r="AN112" i="2"/>
  <c r="AM112" i="2"/>
  <c r="AL112" i="2"/>
  <c r="AK112" i="2"/>
  <c r="AJ112" i="2"/>
  <c r="AI112" i="2"/>
  <c r="AH112" i="2"/>
  <c r="AG112" i="2"/>
  <c r="AE112" i="2"/>
  <c r="AB112" i="2"/>
  <c r="Y112" i="2"/>
  <c r="V112" i="2"/>
  <c r="S112" i="2"/>
  <c r="P112" i="2"/>
  <c r="M112" i="2"/>
  <c r="I112" i="2"/>
  <c r="F112" i="2"/>
  <c r="A112" i="2"/>
  <c r="AQ111" i="2"/>
  <c r="AP111" i="2"/>
  <c r="AO111" i="2"/>
  <c r="AN111" i="2"/>
  <c r="AM111" i="2"/>
  <c r="AK111" i="2"/>
  <c r="AJ111" i="2"/>
  <c r="AG111" i="2"/>
  <c r="AE111" i="2"/>
  <c r="AB111" i="2"/>
  <c r="Y111" i="2"/>
  <c r="V111" i="2"/>
  <c r="S111" i="2"/>
  <c r="P111" i="2"/>
  <c r="M111" i="2"/>
  <c r="I111" i="2"/>
  <c r="F111" i="2"/>
  <c r="A111" i="2"/>
  <c r="AQ110" i="2"/>
  <c r="AP110" i="2"/>
  <c r="AO110" i="2"/>
  <c r="AN110" i="2"/>
  <c r="AK110" i="2"/>
  <c r="AJ110" i="2"/>
  <c r="AG110" i="2"/>
  <c r="AE110" i="2"/>
  <c r="AB110" i="2"/>
  <c r="Y110" i="2"/>
  <c r="V110" i="2"/>
  <c r="S110" i="2"/>
  <c r="P110" i="2"/>
  <c r="M110" i="2"/>
  <c r="I110" i="2"/>
  <c r="F110" i="2"/>
  <c r="AQ109" i="2"/>
  <c r="AP109" i="2"/>
  <c r="AO109" i="2"/>
  <c r="AN109" i="2"/>
  <c r="AL109" i="2"/>
  <c r="AI109" i="2"/>
  <c r="AG109" i="2"/>
  <c r="AE109" i="2"/>
  <c r="AB109" i="2"/>
  <c r="Y109" i="2"/>
  <c r="V109" i="2"/>
  <c r="S109" i="2"/>
  <c r="P109" i="2"/>
  <c r="M109" i="2"/>
  <c r="I109" i="2"/>
  <c r="F109" i="2"/>
  <c r="AD107" i="2"/>
  <c r="AA107" i="2"/>
  <c r="X107" i="2"/>
  <c r="U107" i="2"/>
  <c r="R107" i="2"/>
  <c r="O107" i="2"/>
  <c r="L107" i="2"/>
  <c r="H107" i="2"/>
  <c r="E107" i="2"/>
  <c r="E102" i="2"/>
  <c r="E101" i="2"/>
  <c r="B168" i="2" s="1"/>
  <c r="A101" i="2"/>
  <c r="E100" i="2"/>
  <c r="E99" i="2"/>
  <c r="B167" i="2" s="1"/>
  <c r="A99" i="2"/>
  <c r="E98" i="2"/>
  <c r="E97" i="2"/>
  <c r="B166" i="2" s="1"/>
  <c r="A97" i="2"/>
  <c r="E96" i="2"/>
  <c r="E95" i="2"/>
  <c r="B165" i="2" s="1"/>
  <c r="A95" i="2"/>
  <c r="E94" i="2"/>
  <c r="E93" i="2"/>
  <c r="B164" i="2" s="1"/>
  <c r="A93" i="2"/>
  <c r="S92" i="2"/>
  <c r="M92" i="2"/>
  <c r="K91" i="2"/>
  <c r="A89" i="2"/>
  <c r="AF85" i="2"/>
  <c r="AD85" i="2"/>
  <c r="AC85" i="2"/>
  <c r="AA85" i="2"/>
  <c r="Z85" i="2"/>
  <c r="X85" i="2"/>
  <c r="W85" i="2"/>
  <c r="U85" i="2"/>
  <c r="AF76" i="2"/>
  <c r="AD76" i="2"/>
  <c r="AC76" i="2"/>
  <c r="AA76" i="2"/>
  <c r="Z76" i="2"/>
  <c r="X76" i="2"/>
  <c r="W76" i="2"/>
  <c r="U76" i="2"/>
  <c r="T76" i="2"/>
  <c r="R76" i="2"/>
  <c r="Q76" i="2"/>
  <c r="O76" i="2"/>
  <c r="N76" i="2"/>
  <c r="L76" i="2"/>
  <c r="J76" i="2"/>
  <c r="H76" i="2"/>
  <c r="G76" i="2"/>
  <c r="E76" i="2"/>
  <c r="D76" i="2"/>
  <c r="B76" i="2"/>
  <c r="AF75" i="2"/>
  <c r="AD75" i="2"/>
  <c r="AC75" i="2"/>
  <c r="AA75" i="2"/>
  <c r="Z75" i="2"/>
  <c r="X75" i="2"/>
  <c r="W75" i="2"/>
  <c r="U75" i="2"/>
  <c r="T75" i="2"/>
  <c r="R75" i="2"/>
  <c r="O75" i="2"/>
  <c r="N75" i="2"/>
  <c r="L75" i="2"/>
  <c r="H75" i="2"/>
  <c r="E75" i="2"/>
  <c r="D75" i="2"/>
  <c r="B75" i="2"/>
  <c r="AF74" i="2"/>
  <c r="AD74" i="2"/>
  <c r="AC74" i="2"/>
  <c r="AA74" i="2"/>
  <c r="Z74" i="2"/>
  <c r="X74" i="2"/>
  <c r="W74" i="2"/>
  <c r="U74" i="2"/>
  <c r="T74" i="2"/>
  <c r="R74" i="2"/>
  <c r="Q74" i="2"/>
  <c r="L74" i="2"/>
  <c r="J74" i="2"/>
  <c r="H74" i="2"/>
  <c r="G74" i="2"/>
  <c r="E74" i="2"/>
  <c r="B74" i="2"/>
  <c r="AF73" i="2"/>
  <c r="AD73" i="2"/>
  <c r="AC73" i="2"/>
  <c r="AA73" i="2"/>
  <c r="Z73" i="2"/>
  <c r="X73" i="2"/>
  <c r="W73" i="2"/>
  <c r="U73" i="2"/>
  <c r="R73" i="2"/>
  <c r="Q73" i="2"/>
  <c r="O73" i="2"/>
  <c r="N73" i="2"/>
  <c r="L73" i="2"/>
  <c r="J73" i="2"/>
  <c r="G73" i="2"/>
  <c r="E73" i="2"/>
  <c r="D73" i="2"/>
  <c r="AF72" i="2"/>
  <c r="AD72" i="2"/>
  <c r="AC72" i="2"/>
  <c r="AA72" i="2"/>
  <c r="Z72" i="2"/>
  <c r="X72" i="2"/>
  <c r="W72" i="2"/>
  <c r="U72" i="2"/>
  <c r="T72" i="2"/>
  <c r="Q72" i="2"/>
  <c r="O72" i="2"/>
  <c r="N72" i="2"/>
  <c r="J72" i="2"/>
  <c r="H72" i="2"/>
  <c r="G72" i="2"/>
  <c r="D72" i="2"/>
  <c r="B72" i="2"/>
  <c r="AF68" i="2"/>
  <c r="AD68" i="2"/>
  <c r="AC68" i="2"/>
  <c r="AA68" i="2"/>
  <c r="Z68" i="2"/>
  <c r="X68" i="2"/>
  <c r="W68" i="2"/>
  <c r="U68" i="2"/>
  <c r="T68" i="2"/>
  <c r="R68" i="2"/>
  <c r="Q68" i="2"/>
  <c r="O68" i="2"/>
  <c r="N68" i="2"/>
  <c r="L68" i="2"/>
  <c r="J68" i="2"/>
  <c r="H68" i="2"/>
  <c r="G68" i="2"/>
  <c r="E68" i="2"/>
  <c r="D68" i="2"/>
  <c r="B68" i="2"/>
  <c r="AF67" i="2"/>
  <c r="AD67" i="2"/>
  <c r="AC67" i="2"/>
  <c r="AA67" i="2"/>
  <c r="Z67" i="2"/>
  <c r="X67" i="2"/>
  <c r="W67" i="2"/>
  <c r="U67" i="2"/>
  <c r="T67" i="2"/>
  <c r="R67" i="2"/>
  <c r="O67" i="2"/>
  <c r="N67" i="2"/>
  <c r="L67" i="2"/>
  <c r="H67" i="2"/>
  <c r="E67" i="2"/>
  <c r="D67" i="2"/>
  <c r="B67" i="2"/>
  <c r="AF66" i="2"/>
  <c r="AD66" i="2"/>
  <c r="AC66" i="2"/>
  <c r="AA66" i="2"/>
  <c r="Z66" i="2"/>
  <c r="X66" i="2"/>
  <c r="W66" i="2"/>
  <c r="U66" i="2"/>
  <c r="T66" i="2"/>
  <c r="R66" i="2"/>
  <c r="Q66" i="2"/>
  <c r="L66" i="2"/>
  <c r="J66" i="2"/>
  <c r="H66" i="2"/>
  <c r="G66" i="2"/>
  <c r="E66" i="2"/>
  <c r="B66" i="2"/>
  <c r="AF65" i="2"/>
  <c r="AD65" i="2"/>
  <c r="AC65" i="2"/>
  <c r="AA65" i="2"/>
  <c r="Z65" i="2"/>
  <c r="X65" i="2"/>
  <c r="W65" i="2"/>
  <c r="U65" i="2"/>
  <c r="R65" i="2"/>
  <c r="Q65" i="2"/>
  <c r="O65" i="2"/>
  <c r="N65" i="2"/>
  <c r="L65" i="2"/>
  <c r="J65" i="2"/>
  <c r="G65" i="2"/>
  <c r="E65" i="2"/>
  <c r="D65" i="2"/>
  <c r="AF64" i="2"/>
  <c r="AD64" i="2"/>
  <c r="AC64" i="2"/>
  <c r="AA64" i="2"/>
  <c r="Z64" i="2"/>
  <c r="X64" i="2"/>
  <c r="W64" i="2"/>
  <c r="U64" i="2"/>
  <c r="T64" i="2"/>
  <c r="Q64" i="2"/>
  <c r="O64" i="2"/>
  <c r="N64" i="2"/>
  <c r="J64" i="2"/>
  <c r="H64" i="2"/>
  <c r="G64" i="2"/>
  <c r="D64" i="2"/>
  <c r="B64" i="2"/>
  <c r="AF62" i="2"/>
  <c r="AD62" i="2"/>
  <c r="AC62" i="2"/>
  <c r="AA62" i="2"/>
  <c r="Z62" i="2"/>
  <c r="X62" i="2"/>
  <c r="W62" i="2"/>
  <c r="U62" i="2"/>
  <c r="T62" i="2"/>
  <c r="R62" i="2"/>
  <c r="Q62" i="2"/>
  <c r="O62" i="2"/>
  <c r="N62" i="2"/>
  <c r="L62" i="2"/>
  <c r="J62" i="2"/>
  <c r="H62" i="2"/>
  <c r="G62" i="2"/>
  <c r="E62" i="2"/>
  <c r="D62" i="2"/>
  <c r="B62" i="2"/>
  <c r="AF61" i="2"/>
  <c r="AD61" i="2"/>
  <c r="AC61" i="2"/>
  <c r="AA61" i="2"/>
  <c r="Z61" i="2"/>
  <c r="X61" i="2"/>
  <c r="W61" i="2"/>
  <c r="U61" i="2"/>
  <c r="T61" i="2"/>
  <c r="R61" i="2"/>
  <c r="O61" i="2"/>
  <c r="N61" i="2"/>
  <c r="L61" i="2"/>
  <c r="H61" i="2"/>
  <c r="E61" i="2"/>
  <c r="D61" i="2"/>
  <c r="B61" i="2"/>
  <c r="AF60" i="2"/>
  <c r="AD60" i="2"/>
  <c r="AC60" i="2"/>
  <c r="AA60" i="2"/>
  <c r="Z60" i="2"/>
  <c r="X60" i="2"/>
  <c r="W60" i="2"/>
  <c r="U60" i="2"/>
  <c r="T60" i="2"/>
  <c r="R60" i="2"/>
  <c r="Q60" i="2"/>
  <c r="L60" i="2"/>
  <c r="J60" i="2"/>
  <c r="H60" i="2"/>
  <c r="G60" i="2"/>
  <c r="E60" i="2"/>
  <c r="B60" i="2"/>
  <c r="AF59" i="2"/>
  <c r="AD59" i="2"/>
  <c r="AC59" i="2"/>
  <c r="AA59" i="2"/>
  <c r="Z59" i="2"/>
  <c r="X59" i="2"/>
  <c r="W59" i="2"/>
  <c r="U59" i="2"/>
  <c r="R59" i="2"/>
  <c r="Q59" i="2"/>
  <c r="O59" i="2"/>
  <c r="N59" i="2"/>
  <c r="L59" i="2"/>
  <c r="J59" i="2"/>
  <c r="G59" i="2"/>
  <c r="E59" i="2"/>
  <c r="D59" i="2"/>
  <c r="AF58" i="2"/>
  <c r="AD58" i="2"/>
  <c r="AC58" i="2"/>
  <c r="AA58" i="2"/>
  <c r="Z58" i="2"/>
  <c r="X58" i="2"/>
  <c r="W58" i="2"/>
  <c r="U58" i="2"/>
  <c r="T58" i="2"/>
  <c r="Q58" i="2"/>
  <c r="O58" i="2"/>
  <c r="N58" i="2"/>
  <c r="J58" i="2"/>
  <c r="H58" i="2"/>
  <c r="G58" i="2"/>
  <c r="D58" i="2"/>
  <c r="B58" i="2"/>
  <c r="AF56" i="2"/>
  <c r="AD56" i="2"/>
  <c r="AC56" i="2"/>
  <c r="AA56" i="2"/>
  <c r="Z56" i="2"/>
  <c r="X56" i="2"/>
  <c r="W56" i="2"/>
  <c r="U56" i="2"/>
  <c r="T56" i="2"/>
  <c r="R56" i="2"/>
  <c r="Q56" i="2"/>
  <c r="O56" i="2"/>
  <c r="N56" i="2"/>
  <c r="L56" i="2"/>
  <c r="J56" i="2"/>
  <c r="H56" i="2"/>
  <c r="G56" i="2"/>
  <c r="E56" i="2"/>
  <c r="D56" i="2"/>
  <c r="B56" i="2"/>
  <c r="AF55" i="2"/>
  <c r="AD55" i="2"/>
  <c r="AC55" i="2"/>
  <c r="AA55" i="2"/>
  <c r="Z55" i="2"/>
  <c r="X55" i="2"/>
  <c r="W55" i="2"/>
  <c r="U55" i="2"/>
  <c r="T55" i="2"/>
  <c r="R55" i="2"/>
  <c r="O55" i="2"/>
  <c r="N55" i="2"/>
  <c r="L55" i="2"/>
  <c r="H55" i="2"/>
  <c r="E55" i="2"/>
  <c r="D55" i="2"/>
  <c r="B55" i="2"/>
  <c r="AF54" i="2"/>
  <c r="AD54" i="2"/>
  <c r="AC54" i="2"/>
  <c r="AA54" i="2"/>
  <c r="Z54" i="2"/>
  <c r="X54" i="2"/>
  <c r="W54" i="2"/>
  <c r="U54" i="2"/>
  <c r="T54" i="2"/>
  <c r="R54" i="2"/>
  <c r="Q54" i="2"/>
  <c r="L54" i="2"/>
  <c r="J54" i="2"/>
  <c r="H54" i="2"/>
  <c r="G54" i="2"/>
  <c r="E54" i="2"/>
  <c r="B54" i="2"/>
  <c r="AF53" i="2"/>
  <c r="AD53" i="2"/>
  <c r="AC53" i="2"/>
  <c r="AA53" i="2"/>
  <c r="Z53" i="2"/>
  <c r="X53" i="2"/>
  <c r="W53" i="2"/>
  <c r="U53" i="2"/>
  <c r="R53" i="2"/>
  <c r="Q53" i="2"/>
  <c r="O53" i="2"/>
  <c r="N53" i="2"/>
  <c r="L53" i="2"/>
  <c r="J53" i="2"/>
  <c r="G53" i="2"/>
  <c r="E53" i="2"/>
  <c r="D53" i="2"/>
  <c r="AF52" i="2"/>
  <c r="AD52" i="2"/>
  <c r="AC52" i="2"/>
  <c r="AA52" i="2"/>
  <c r="Z52" i="2"/>
  <c r="X52" i="2"/>
  <c r="W52" i="2"/>
  <c r="U52" i="2"/>
  <c r="T52" i="2"/>
  <c r="Q52" i="2"/>
  <c r="O52" i="2"/>
  <c r="N52" i="2"/>
  <c r="J52" i="2"/>
  <c r="H52" i="2"/>
  <c r="G52" i="2"/>
  <c r="D52" i="2"/>
  <c r="B52" i="2"/>
  <c r="AF50" i="2"/>
  <c r="AD50" i="2"/>
  <c r="AC50" i="2"/>
  <c r="AA50" i="2"/>
  <c r="Z50" i="2"/>
  <c r="X50" i="2"/>
  <c r="W50" i="2"/>
  <c r="U50" i="2"/>
  <c r="T50" i="2"/>
  <c r="R50" i="2"/>
  <c r="Q50" i="2"/>
  <c r="O50" i="2"/>
  <c r="N50" i="2"/>
  <c r="L50" i="2"/>
  <c r="J50" i="2"/>
  <c r="H50" i="2"/>
  <c r="G50" i="2"/>
  <c r="E50" i="2"/>
  <c r="D50" i="2"/>
  <c r="B50" i="2"/>
  <c r="AF49" i="2"/>
  <c r="AD49" i="2"/>
  <c r="AC49" i="2"/>
  <c r="AA49" i="2"/>
  <c r="Z49" i="2"/>
  <c r="X49" i="2"/>
  <c r="W49" i="2"/>
  <c r="U49" i="2"/>
  <c r="T49" i="2"/>
  <c r="R49" i="2"/>
  <c r="O49" i="2"/>
  <c r="N49" i="2"/>
  <c r="L49" i="2"/>
  <c r="H49" i="2"/>
  <c r="E49" i="2"/>
  <c r="D49" i="2"/>
  <c r="B49" i="2"/>
  <c r="AF48" i="2"/>
  <c r="AD48" i="2"/>
  <c r="AC48" i="2"/>
  <c r="AA48" i="2"/>
  <c r="Z48" i="2"/>
  <c r="X48" i="2"/>
  <c r="W48" i="2"/>
  <c r="U48" i="2"/>
  <c r="T48" i="2"/>
  <c r="R48" i="2"/>
  <c r="Q48" i="2"/>
  <c r="L48" i="2"/>
  <c r="J48" i="2"/>
  <c r="H48" i="2"/>
  <c r="G48" i="2"/>
  <c r="E48" i="2"/>
  <c r="B48" i="2"/>
  <c r="AF47" i="2"/>
  <c r="AD47" i="2"/>
  <c r="AC47" i="2"/>
  <c r="AA47" i="2"/>
  <c r="Z47" i="2"/>
  <c r="X47" i="2"/>
  <c r="W47" i="2"/>
  <c r="U47" i="2"/>
  <c r="R47" i="2"/>
  <c r="Q47" i="2"/>
  <c r="O47" i="2"/>
  <c r="N47" i="2"/>
  <c r="L47" i="2"/>
  <c r="J47" i="2"/>
  <c r="G47" i="2"/>
  <c r="E47" i="2"/>
  <c r="D47" i="2"/>
  <c r="AF46" i="2"/>
  <c r="AD46" i="2"/>
  <c r="AC46" i="2"/>
  <c r="AA46" i="2"/>
  <c r="Z46" i="2"/>
  <c r="X46" i="2"/>
  <c r="W46" i="2"/>
  <c r="U46" i="2"/>
  <c r="T46" i="2"/>
  <c r="Q46" i="2"/>
  <c r="O46" i="2"/>
  <c r="N46" i="2"/>
  <c r="J46" i="2"/>
  <c r="H46" i="2"/>
  <c r="G46" i="2"/>
  <c r="D46" i="2"/>
  <c r="B46" i="2"/>
  <c r="AF35" i="2"/>
  <c r="AF43" i="2" s="1"/>
  <c r="AD35" i="2"/>
  <c r="AD43" i="2" s="1"/>
  <c r="AC35" i="2"/>
  <c r="AC43" i="2" s="1"/>
  <c r="AA35" i="2"/>
  <c r="AA43" i="2" s="1"/>
  <c r="Z35" i="2"/>
  <c r="Z43" i="2" s="1"/>
  <c r="X35" i="2"/>
  <c r="X43" i="2" s="1"/>
  <c r="W35" i="2"/>
  <c r="W43" i="2" s="1"/>
  <c r="U35" i="2"/>
  <c r="U43" i="2" s="1"/>
  <c r="T35" i="2"/>
  <c r="T43" i="2" s="1"/>
  <c r="R35" i="2"/>
  <c r="R43" i="2" s="1"/>
  <c r="Q35" i="2"/>
  <c r="Q43" i="2" s="1"/>
  <c r="O35" i="2"/>
  <c r="O43" i="2" s="1"/>
  <c r="N35" i="2"/>
  <c r="N43" i="2" s="1"/>
  <c r="L35" i="2"/>
  <c r="L43" i="2" s="1"/>
  <c r="J35" i="2"/>
  <c r="J43" i="2" s="1"/>
  <c r="H35" i="2"/>
  <c r="H43" i="2" s="1"/>
  <c r="G35" i="2"/>
  <c r="G43" i="2" s="1"/>
  <c r="E35" i="2"/>
  <c r="E43" i="2" s="1"/>
  <c r="D35" i="2"/>
  <c r="D43" i="2" s="1"/>
  <c r="B35" i="2"/>
  <c r="B43" i="2" s="1"/>
  <c r="AF34" i="2"/>
  <c r="AF42" i="2" s="1"/>
  <c r="AD34" i="2"/>
  <c r="AD42" i="2" s="1"/>
  <c r="AC34" i="2"/>
  <c r="AC42" i="2" s="1"/>
  <c r="AA34" i="2"/>
  <c r="AA42" i="2" s="1"/>
  <c r="Z34" i="2"/>
  <c r="Z42" i="2" s="1"/>
  <c r="X34" i="2"/>
  <c r="X42" i="2" s="1"/>
  <c r="W34" i="2"/>
  <c r="W42" i="2" s="1"/>
  <c r="U34" i="2"/>
  <c r="U42" i="2" s="1"/>
  <c r="T34" i="2"/>
  <c r="T42" i="2" s="1"/>
  <c r="R34" i="2"/>
  <c r="R42" i="2" s="1"/>
  <c r="Q34" i="2"/>
  <c r="Q42" i="2" s="1"/>
  <c r="O34" i="2"/>
  <c r="O42" i="2" s="1"/>
  <c r="N34" i="2"/>
  <c r="N42" i="2" s="1"/>
  <c r="L34" i="2"/>
  <c r="L42" i="2" s="1"/>
  <c r="J34" i="2"/>
  <c r="J42" i="2" s="1"/>
  <c r="H34" i="2"/>
  <c r="H42" i="2" s="1"/>
  <c r="G34" i="2"/>
  <c r="G42" i="2" s="1"/>
  <c r="E34" i="2"/>
  <c r="E42" i="2" s="1"/>
  <c r="D34" i="2"/>
  <c r="D42" i="2" s="1"/>
  <c r="B34" i="2"/>
  <c r="B42" i="2" s="1"/>
  <c r="AF33" i="2"/>
  <c r="AF41" i="2" s="1"/>
  <c r="AD33" i="2"/>
  <c r="AD41" i="2" s="1"/>
  <c r="AC33" i="2"/>
  <c r="AC41" i="2" s="1"/>
  <c r="AA33" i="2"/>
  <c r="AA41" i="2" s="1"/>
  <c r="Z33" i="2"/>
  <c r="Z41" i="2" s="1"/>
  <c r="X33" i="2"/>
  <c r="X41" i="2" s="1"/>
  <c r="W33" i="2"/>
  <c r="W41" i="2" s="1"/>
  <c r="U33" i="2"/>
  <c r="U41" i="2" s="1"/>
  <c r="T33" i="2"/>
  <c r="T41" i="2" s="1"/>
  <c r="R33" i="2"/>
  <c r="R41" i="2" s="1"/>
  <c r="Q33" i="2"/>
  <c r="Q41" i="2" s="1"/>
  <c r="O33" i="2"/>
  <c r="O41" i="2" s="1"/>
  <c r="N33" i="2"/>
  <c r="N41" i="2" s="1"/>
  <c r="L33" i="2"/>
  <c r="L41" i="2" s="1"/>
  <c r="J33" i="2"/>
  <c r="J41" i="2" s="1"/>
  <c r="H33" i="2"/>
  <c r="H41" i="2" s="1"/>
  <c r="G33" i="2"/>
  <c r="G41" i="2" s="1"/>
  <c r="E33" i="2"/>
  <c r="E41" i="2" s="1"/>
  <c r="D33" i="2"/>
  <c r="D41" i="2" s="1"/>
  <c r="B33" i="2"/>
  <c r="B41" i="2" s="1"/>
  <c r="AF32" i="2"/>
  <c r="AF40" i="2" s="1"/>
  <c r="AD32" i="2"/>
  <c r="AC32" i="2"/>
  <c r="AC40" i="2" s="1"/>
  <c r="AA32" i="2"/>
  <c r="Z32" i="2"/>
  <c r="Z40" i="2" s="1"/>
  <c r="X32" i="2"/>
  <c r="X40" i="2" s="1"/>
  <c r="W32" i="2"/>
  <c r="W40" i="2" s="1"/>
  <c r="U32" i="2"/>
  <c r="U40" i="2" s="1"/>
  <c r="T32" i="2"/>
  <c r="T40" i="2" s="1"/>
  <c r="R32" i="2"/>
  <c r="Q32" i="2"/>
  <c r="Q40" i="2" s="1"/>
  <c r="O32" i="2"/>
  <c r="N32" i="2"/>
  <c r="N40" i="2" s="1"/>
  <c r="L32" i="2"/>
  <c r="L40" i="2" s="1"/>
  <c r="J32" i="2"/>
  <c r="J40" i="2" s="1"/>
  <c r="H32" i="2"/>
  <c r="H40" i="2" s="1"/>
  <c r="G32" i="2"/>
  <c r="G40" i="2" s="1"/>
  <c r="E32" i="2"/>
  <c r="D32" i="2"/>
  <c r="D40" i="2" s="1"/>
  <c r="B32" i="2"/>
  <c r="AF31" i="2"/>
  <c r="AF36" i="2" s="1"/>
  <c r="AD31" i="2"/>
  <c r="AD39" i="2" s="1"/>
  <c r="AC31" i="2"/>
  <c r="AC39" i="2" s="1"/>
  <c r="AA31" i="2"/>
  <c r="AA39" i="2" s="1"/>
  <c r="Z31" i="2"/>
  <c r="Z39" i="2" s="1"/>
  <c r="X31" i="2"/>
  <c r="X39" i="2" s="1"/>
  <c r="W31" i="2"/>
  <c r="W39" i="2" s="1"/>
  <c r="U31" i="2"/>
  <c r="U39" i="2" s="1"/>
  <c r="T31" i="2"/>
  <c r="T36" i="2" s="1"/>
  <c r="R31" i="2"/>
  <c r="R64" i="2" s="1"/>
  <c r="Q31" i="2"/>
  <c r="Q67" i="2" s="1"/>
  <c r="O31" i="2"/>
  <c r="O39" i="2" s="1"/>
  <c r="N31" i="2"/>
  <c r="N66" i="2" s="1"/>
  <c r="L31" i="2"/>
  <c r="L39" i="2" s="1"/>
  <c r="J31" i="2"/>
  <c r="J67" i="2" s="1"/>
  <c r="H31" i="2"/>
  <c r="H65" i="2" s="1"/>
  <c r="G31" i="2"/>
  <c r="G36" i="2" s="1"/>
  <c r="E31" i="2"/>
  <c r="E64" i="2" s="1"/>
  <c r="D31" i="2"/>
  <c r="D39" i="2" s="1"/>
  <c r="B31" i="2"/>
  <c r="B39" i="2" s="1"/>
  <c r="AF30" i="2"/>
  <c r="AD30" i="2"/>
  <c r="AC30" i="2"/>
  <c r="AA30" i="2"/>
  <c r="Z30" i="2"/>
  <c r="X30" i="2"/>
  <c r="W30" i="2"/>
  <c r="U30" i="2"/>
  <c r="T30" i="2"/>
  <c r="AM25" i="2" s="1"/>
  <c r="R30" i="2"/>
  <c r="Q30" i="2"/>
  <c r="O30" i="2"/>
  <c r="N30" i="2"/>
  <c r="AK26" i="2" s="1"/>
  <c r="L30" i="2"/>
  <c r="J30" i="2"/>
  <c r="H30" i="2"/>
  <c r="G30" i="2"/>
  <c r="E30" i="2"/>
  <c r="D30" i="2"/>
  <c r="B30" i="2"/>
  <c r="AE29" i="2"/>
  <c r="AB29" i="2"/>
  <c r="Y29" i="2"/>
  <c r="V29" i="2"/>
  <c r="S29" i="2"/>
  <c r="P29" i="2"/>
  <c r="M29" i="2"/>
  <c r="I29" i="2"/>
  <c r="F29" i="2"/>
  <c r="A29" i="2"/>
  <c r="AQ28" i="2"/>
  <c r="AP28" i="2"/>
  <c r="AO28" i="2"/>
  <c r="AN28" i="2"/>
  <c r="AM28" i="2"/>
  <c r="AL28" i="2"/>
  <c r="AK28" i="2"/>
  <c r="AJ28" i="2"/>
  <c r="AI28" i="2"/>
  <c r="AH28" i="2"/>
  <c r="AG28" i="2"/>
  <c r="AE28" i="2"/>
  <c r="AB28" i="2"/>
  <c r="Y28" i="2"/>
  <c r="V28" i="2"/>
  <c r="S28" i="2"/>
  <c r="P28" i="2"/>
  <c r="M28" i="2"/>
  <c r="I28" i="2"/>
  <c r="F28" i="2"/>
  <c r="A28" i="2"/>
  <c r="AQ27" i="2"/>
  <c r="AP27" i="2"/>
  <c r="AO27" i="2"/>
  <c r="AN27" i="2"/>
  <c r="AM27" i="2"/>
  <c r="AK27" i="2"/>
  <c r="AH27" i="2"/>
  <c r="AG27" i="2"/>
  <c r="AE27" i="2"/>
  <c r="AB27" i="2"/>
  <c r="Y27" i="2"/>
  <c r="V27" i="2"/>
  <c r="S27" i="2"/>
  <c r="P27" i="2"/>
  <c r="M27" i="2"/>
  <c r="I27" i="2"/>
  <c r="F27" i="2"/>
  <c r="A27" i="2"/>
  <c r="AQ26" i="2"/>
  <c r="AP26" i="2"/>
  <c r="AO26" i="2"/>
  <c r="AN26" i="2"/>
  <c r="AM26" i="2"/>
  <c r="AL26" i="2"/>
  <c r="AJ26" i="2"/>
  <c r="AI26" i="2"/>
  <c r="AH26" i="2"/>
  <c r="AG26" i="2"/>
  <c r="AE26" i="2"/>
  <c r="AB26" i="2"/>
  <c r="Y26" i="2"/>
  <c r="V26" i="2"/>
  <c r="S26" i="2"/>
  <c r="P26" i="2"/>
  <c r="M26" i="2"/>
  <c r="I26" i="2"/>
  <c r="F26" i="2"/>
  <c r="A26" i="2"/>
  <c r="AQ25" i="2"/>
  <c r="AP25" i="2"/>
  <c r="AO25" i="2"/>
  <c r="AN25" i="2"/>
  <c r="AL25" i="2"/>
  <c r="AK25" i="2"/>
  <c r="AI25" i="2"/>
  <c r="AG25" i="2"/>
  <c r="AE25" i="2"/>
  <c r="AB25" i="2"/>
  <c r="Y25" i="2"/>
  <c r="V25" i="2"/>
  <c r="S25" i="2"/>
  <c r="P25" i="2"/>
  <c r="M25" i="2"/>
  <c r="I25" i="2"/>
  <c r="F25" i="2"/>
  <c r="AQ24" i="2"/>
  <c r="AP24" i="2"/>
  <c r="AO24" i="2"/>
  <c r="AN24" i="2"/>
  <c r="AL24" i="2"/>
  <c r="AJ24" i="2"/>
  <c r="AH24" i="2"/>
  <c r="AG24" i="2"/>
  <c r="AE24" i="2"/>
  <c r="AB24" i="2"/>
  <c r="Y24" i="2"/>
  <c r="V24" i="2"/>
  <c r="S24" i="2"/>
  <c r="P24" i="2"/>
  <c r="M24" i="2"/>
  <c r="I24" i="2"/>
  <c r="F24" i="2"/>
  <c r="AD22" i="2"/>
  <c r="AA22" i="2"/>
  <c r="X22" i="2"/>
  <c r="U22" i="2"/>
  <c r="R22" i="2"/>
  <c r="O22" i="2"/>
  <c r="L22" i="2"/>
  <c r="H22" i="2"/>
  <c r="E22" i="2"/>
  <c r="E17" i="2"/>
  <c r="E16" i="2"/>
  <c r="B83" i="2" s="1"/>
  <c r="A16" i="2"/>
  <c r="E15" i="2"/>
  <c r="E14" i="2"/>
  <c r="B82" i="2" s="1"/>
  <c r="A14" i="2"/>
  <c r="E13" i="2"/>
  <c r="E12" i="2"/>
  <c r="B81" i="2" s="1"/>
  <c r="A12" i="2"/>
  <c r="E11" i="2"/>
  <c r="E10" i="2"/>
  <c r="B80" i="2" s="1"/>
  <c r="A10" i="2"/>
  <c r="E9" i="2"/>
  <c r="E8" i="2"/>
  <c r="B79" i="2" s="1"/>
  <c r="A8" i="2"/>
  <c r="S7" i="2"/>
  <c r="M7" i="2"/>
  <c r="K6" i="2"/>
  <c r="Z231" i="1"/>
  <c r="X230" i="1"/>
  <c r="AT233" i="1" s="1"/>
  <c r="AF221" i="1"/>
  <c r="AD221" i="1"/>
  <c r="AC221" i="1"/>
  <c r="AA221" i="1"/>
  <c r="Z221" i="1"/>
  <c r="X221" i="1"/>
  <c r="J221" i="1"/>
  <c r="H221" i="1"/>
  <c r="G221" i="1"/>
  <c r="E221" i="1"/>
  <c r="D221" i="1"/>
  <c r="B221" i="1"/>
  <c r="AF220" i="1"/>
  <c r="AD220" i="1"/>
  <c r="AC220" i="1"/>
  <c r="AA220" i="1"/>
  <c r="Z220" i="1"/>
  <c r="X220" i="1"/>
  <c r="J220" i="1"/>
  <c r="H220" i="1"/>
  <c r="G220" i="1"/>
  <c r="E220" i="1"/>
  <c r="D220" i="1"/>
  <c r="B220" i="1"/>
  <c r="AF219" i="1"/>
  <c r="AF222" i="1" s="1"/>
  <c r="AD219" i="1"/>
  <c r="AD222" i="1" s="1"/>
  <c r="AC219" i="1"/>
  <c r="AA219" i="1"/>
  <c r="AA222" i="1" s="1"/>
  <c r="Z219" i="1"/>
  <c r="Z222" i="1" s="1"/>
  <c r="X219" i="1"/>
  <c r="X222" i="1" s="1"/>
  <c r="J219" i="1"/>
  <c r="J222" i="1" s="1"/>
  <c r="H219" i="1"/>
  <c r="H222" i="1" s="1"/>
  <c r="G219" i="1"/>
  <c r="G222" i="1" s="1"/>
  <c r="E219" i="1"/>
  <c r="E222" i="1" s="1"/>
  <c r="D219" i="1"/>
  <c r="B219" i="1"/>
  <c r="B222" i="1" s="1"/>
  <c r="V195" i="1"/>
  <c r="AB180" i="1"/>
  <c r="AH211" i="1" s="1"/>
  <c r="V180" i="1"/>
  <c r="Y211" i="1" s="1"/>
  <c r="R180" i="1"/>
  <c r="K213" i="1" s="1"/>
  <c r="L180" i="1"/>
  <c r="B213" i="1" s="1"/>
  <c r="H180" i="1"/>
  <c r="K211" i="1" s="1"/>
  <c r="B180" i="1"/>
  <c r="B211" i="1" s="1"/>
  <c r="AL179" i="1"/>
  <c r="AH212" i="1" s="1"/>
  <c r="AF179" i="1"/>
  <c r="Y212" i="1" s="1"/>
  <c r="AB179" i="1"/>
  <c r="AH210" i="1" s="1"/>
  <c r="V179" i="1"/>
  <c r="Y210" i="1" s="1"/>
  <c r="R179" i="1"/>
  <c r="K212" i="1" s="1"/>
  <c r="L179" i="1"/>
  <c r="B212" i="1" s="1"/>
  <c r="H179" i="1"/>
  <c r="K210" i="1" s="1"/>
  <c r="B179" i="1"/>
  <c r="B210" i="1" s="1"/>
  <c r="A174" i="1"/>
  <c r="AF161" i="1"/>
  <c r="AD161" i="1"/>
  <c r="AC161" i="1"/>
  <c r="AA161" i="1"/>
  <c r="X161" i="1"/>
  <c r="W161" i="1"/>
  <c r="U161" i="1"/>
  <c r="T161" i="1"/>
  <c r="R161" i="1"/>
  <c r="Q161" i="1"/>
  <c r="O161" i="1"/>
  <c r="N161" i="1"/>
  <c r="L161" i="1"/>
  <c r="J161" i="1"/>
  <c r="H161" i="1"/>
  <c r="G161" i="1"/>
  <c r="E161" i="1"/>
  <c r="D161" i="1"/>
  <c r="B161" i="1"/>
  <c r="AF160" i="1"/>
  <c r="AD160" i="1"/>
  <c r="AA160" i="1"/>
  <c r="Z160" i="1"/>
  <c r="X160" i="1"/>
  <c r="W160" i="1"/>
  <c r="U160" i="1"/>
  <c r="T160" i="1"/>
  <c r="R160" i="1"/>
  <c r="Q160" i="1"/>
  <c r="O160" i="1"/>
  <c r="N160" i="1"/>
  <c r="L160" i="1"/>
  <c r="J160" i="1"/>
  <c r="H160" i="1"/>
  <c r="G160" i="1"/>
  <c r="E160" i="1"/>
  <c r="D160" i="1"/>
  <c r="B160" i="1"/>
  <c r="AF159" i="1"/>
  <c r="AD159" i="1"/>
  <c r="AC159" i="1"/>
  <c r="Z159" i="1"/>
  <c r="X159" i="1"/>
  <c r="U159" i="1"/>
  <c r="R159" i="1"/>
  <c r="O159" i="1"/>
  <c r="L159" i="1"/>
  <c r="H159" i="1"/>
  <c r="E159" i="1"/>
  <c r="B159" i="1"/>
  <c r="AD158" i="1"/>
  <c r="AC158" i="1"/>
  <c r="AA158" i="1"/>
  <c r="Z158" i="1"/>
  <c r="X158" i="1"/>
  <c r="W158" i="1"/>
  <c r="R158" i="1"/>
  <c r="Q158" i="1"/>
  <c r="L158" i="1"/>
  <c r="H158" i="1"/>
  <c r="G158" i="1"/>
  <c r="B158" i="1"/>
  <c r="AF157" i="1"/>
  <c r="AC157" i="1"/>
  <c r="AA157" i="1"/>
  <c r="Z157" i="1"/>
  <c r="W157" i="1"/>
  <c r="U157" i="1"/>
  <c r="T157" i="1"/>
  <c r="Q157" i="1"/>
  <c r="O157" i="1"/>
  <c r="N157" i="1"/>
  <c r="J157" i="1"/>
  <c r="G157" i="1"/>
  <c r="E157" i="1"/>
  <c r="D157" i="1"/>
  <c r="AF153" i="1"/>
  <c r="AD153" i="1"/>
  <c r="AC153" i="1"/>
  <c r="AA153" i="1"/>
  <c r="X153" i="1"/>
  <c r="W153" i="1"/>
  <c r="U153" i="1"/>
  <c r="T153" i="1"/>
  <c r="R153" i="1"/>
  <c r="Q153" i="1"/>
  <c r="O153" i="1"/>
  <c r="N153" i="1"/>
  <c r="L153" i="1"/>
  <c r="J153" i="1"/>
  <c r="H153" i="1"/>
  <c r="G153" i="1"/>
  <c r="E153" i="1"/>
  <c r="D153" i="1"/>
  <c r="B153" i="1"/>
  <c r="AF152" i="1"/>
  <c r="AD152" i="1"/>
  <c r="AA152" i="1"/>
  <c r="Z152" i="1"/>
  <c r="X152" i="1"/>
  <c r="W152" i="1"/>
  <c r="U152" i="1"/>
  <c r="T152" i="1"/>
  <c r="R152" i="1"/>
  <c r="Q152" i="1"/>
  <c r="O152" i="1"/>
  <c r="N152" i="1"/>
  <c r="L152" i="1"/>
  <c r="J152" i="1"/>
  <c r="H152" i="1"/>
  <c r="G152" i="1"/>
  <c r="E152" i="1"/>
  <c r="D152" i="1"/>
  <c r="B152" i="1"/>
  <c r="AF151" i="1"/>
  <c r="AD151" i="1"/>
  <c r="AC151" i="1"/>
  <c r="Z151" i="1"/>
  <c r="X151" i="1"/>
  <c r="U151" i="1"/>
  <c r="R151" i="1"/>
  <c r="O151" i="1"/>
  <c r="L151" i="1"/>
  <c r="H151" i="1"/>
  <c r="E151" i="1"/>
  <c r="B151" i="1"/>
  <c r="AD150" i="1"/>
  <c r="AC150" i="1"/>
  <c r="AA150" i="1"/>
  <c r="Z150" i="1"/>
  <c r="X150" i="1"/>
  <c r="W150" i="1"/>
  <c r="R150" i="1"/>
  <c r="Q150" i="1"/>
  <c r="L150" i="1"/>
  <c r="H150" i="1"/>
  <c r="G150" i="1"/>
  <c r="B150" i="1"/>
  <c r="AF149" i="1"/>
  <c r="AC149" i="1"/>
  <c r="AA149" i="1"/>
  <c r="Z149" i="1"/>
  <c r="W149" i="1"/>
  <c r="U149" i="1"/>
  <c r="T149" i="1"/>
  <c r="Q149" i="1"/>
  <c r="O149" i="1"/>
  <c r="N149" i="1"/>
  <c r="J149" i="1"/>
  <c r="G149" i="1"/>
  <c r="E149" i="1"/>
  <c r="D149" i="1"/>
  <c r="AF147" i="1"/>
  <c r="AD147" i="1"/>
  <c r="AC147" i="1"/>
  <c r="AA147" i="1"/>
  <c r="X147" i="1"/>
  <c r="W147" i="1"/>
  <c r="U147" i="1"/>
  <c r="T147" i="1"/>
  <c r="R147" i="1"/>
  <c r="Q147" i="1"/>
  <c r="O147" i="1"/>
  <c r="N147" i="1"/>
  <c r="L147" i="1"/>
  <c r="J147" i="1"/>
  <c r="H147" i="1"/>
  <c r="G147" i="1"/>
  <c r="E147" i="1"/>
  <c r="D147" i="1"/>
  <c r="B147" i="1"/>
  <c r="AF146" i="1"/>
  <c r="AD146" i="1"/>
  <c r="AA146" i="1"/>
  <c r="Z146" i="1"/>
  <c r="X146" i="1"/>
  <c r="W146" i="1"/>
  <c r="U146" i="1"/>
  <c r="T146" i="1"/>
  <c r="R146" i="1"/>
  <c r="Q146" i="1"/>
  <c r="O146" i="1"/>
  <c r="N146" i="1"/>
  <c r="L146" i="1"/>
  <c r="J146" i="1"/>
  <c r="H146" i="1"/>
  <c r="G146" i="1"/>
  <c r="E146" i="1"/>
  <c r="D146" i="1"/>
  <c r="B146" i="1"/>
  <c r="AF145" i="1"/>
  <c r="AD145" i="1"/>
  <c r="AC145" i="1"/>
  <c r="Z145" i="1"/>
  <c r="X145" i="1"/>
  <c r="U145" i="1"/>
  <c r="R145" i="1"/>
  <c r="O145" i="1"/>
  <c r="L145" i="1"/>
  <c r="H145" i="1"/>
  <c r="E145" i="1"/>
  <c r="B145" i="1"/>
  <c r="AD144" i="1"/>
  <c r="AC144" i="1"/>
  <c r="AA144" i="1"/>
  <c r="Z144" i="1"/>
  <c r="X144" i="1"/>
  <c r="W144" i="1"/>
  <c r="R144" i="1"/>
  <c r="Q144" i="1"/>
  <c r="L144" i="1"/>
  <c r="H144" i="1"/>
  <c r="G144" i="1"/>
  <c r="B144" i="1"/>
  <c r="AF143" i="1"/>
  <c r="AC143" i="1"/>
  <c r="AA143" i="1"/>
  <c r="Z143" i="1"/>
  <c r="W143" i="1"/>
  <c r="U143" i="1"/>
  <c r="T143" i="1"/>
  <c r="Q143" i="1"/>
  <c r="O143" i="1"/>
  <c r="N143" i="1"/>
  <c r="J143" i="1"/>
  <c r="G143" i="1"/>
  <c r="E143" i="1"/>
  <c r="D143" i="1"/>
  <c r="AF141" i="1"/>
  <c r="AD141" i="1"/>
  <c r="AC141" i="1"/>
  <c r="AA141" i="1"/>
  <c r="X141" i="1"/>
  <c r="W141" i="1"/>
  <c r="U141" i="1"/>
  <c r="T141" i="1"/>
  <c r="R141" i="1"/>
  <c r="Q141" i="1"/>
  <c r="O141" i="1"/>
  <c r="N141" i="1"/>
  <c r="L141" i="1"/>
  <c r="J141" i="1"/>
  <c r="H141" i="1"/>
  <c r="G141" i="1"/>
  <c r="E141" i="1"/>
  <c r="D141" i="1"/>
  <c r="B141" i="1"/>
  <c r="AF140" i="1"/>
  <c r="AD140" i="1"/>
  <c r="AA140" i="1"/>
  <c r="Z140" i="1"/>
  <c r="X140" i="1"/>
  <c r="W140" i="1"/>
  <c r="U140" i="1"/>
  <c r="T140" i="1"/>
  <c r="R140" i="1"/>
  <c r="Q140" i="1"/>
  <c r="O140" i="1"/>
  <c r="N140" i="1"/>
  <c r="L140" i="1"/>
  <c r="J140" i="1"/>
  <c r="H140" i="1"/>
  <c r="G140" i="1"/>
  <c r="E140" i="1"/>
  <c r="D140" i="1"/>
  <c r="B140" i="1"/>
  <c r="AF139" i="1"/>
  <c r="AD139" i="1"/>
  <c r="AC139" i="1"/>
  <c r="Z139" i="1"/>
  <c r="X139" i="1"/>
  <c r="U139" i="1"/>
  <c r="R139" i="1"/>
  <c r="O139" i="1"/>
  <c r="L139" i="1"/>
  <c r="H139" i="1"/>
  <c r="E139" i="1"/>
  <c r="B139" i="1"/>
  <c r="AD138" i="1"/>
  <c r="AC138" i="1"/>
  <c r="AA138" i="1"/>
  <c r="Z138" i="1"/>
  <c r="X138" i="1"/>
  <c r="W138" i="1"/>
  <c r="R138" i="1"/>
  <c r="Q138" i="1"/>
  <c r="L138" i="1"/>
  <c r="H138" i="1"/>
  <c r="G138" i="1"/>
  <c r="B138" i="1"/>
  <c r="AF137" i="1"/>
  <c r="AC137" i="1"/>
  <c r="AA137" i="1"/>
  <c r="Z137" i="1"/>
  <c r="W137" i="1"/>
  <c r="U137" i="1"/>
  <c r="T137" i="1"/>
  <c r="Q137" i="1"/>
  <c r="O137" i="1"/>
  <c r="N137" i="1"/>
  <c r="J137" i="1"/>
  <c r="G137" i="1"/>
  <c r="E137" i="1"/>
  <c r="D137" i="1"/>
  <c r="AF135" i="1"/>
  <c r="AD135" i="1"/>
  <c r="AC135" i="1"/>
  <c r="AA135" i="1"/>
  <c r="X135" i="1"/>
  <c r="W135" i="1"/>
  <c r="U135" i="1"/>
  <c r="T135" i="1"/>
  <c r="R135" i="1"/>
  <c r="Q135" i="1"/>
  <c r="O135" i="1"/>
  <c r="N135" i="1"/>
  <c r="L135" i="1"/>
  <c r="J135" i="1"/>
  <c r="H135" i="1"/>
  <c r="G135" i="1"/>
  <c r="E135" i="1"/>
  <c r="D135" i="1"/>
  <c r="B135" i="1"/>
  <c r="AF134" i="1"/>
  <c r="AD134" i="1"/>
  <c r="AA134" i="1"/>
  <c r="Z134" i="1"/>
  <c r="X134" i="1"/>
  <c r="W134" i="1"/>
  <c r="U134" i="1"/>
  <c r="T134" i="1"/>
  <c r="R134" i="1"/>
  <c r="Q134" i="1"/>
  <c r="O134" i="1"/>
  <c r="N134" i="1"/>
  <c r="L134" i="1"/>
  <c r="J134" i="1"/>
  <c r="H134" i="1"/>
  <c r="G134" i="1"/>
  <c r="E134" i="1"/>
  <c r="D134" i="1"/>
  <c r="B134" i="1"/>
  <c r="AF133" i="1"/>
  <c r="AD133" i="1"/>
  <c r="AC133" i="1"/>
  <c r="Z133" i="1"/>
  <c r="X133" i="1"/>
  <c r="U133" i="1"/>
  <c r="R133" i="1"/>
  <c r="O133" i="1"/>
  <c r="L133" i="1"/>
  <c r="H133" i="1"/>
  <c r="E133" i="1"/>
  <c r="B133" i="1"/>
  <c r="AD132" i="1"/>
  <c r="AC132" i="1"/>
  <c r="AA132" i="1"/>
  <c r="Z132" i="1"/>
  <c r="X132" i="1"/>
  <c r="W132" i="1"/>
  <c r="R132" i="1"/>
  <c r="Q132" i="1"/>
  <c r="L132" i="1"/>
  <c r="H132" i="1"/>
  <c r="G132" i="1"/>
  <c r="B132" i="1"/>
  <c r="AF131" i="1"/>
  <c r="AC131" i="1"/>
  <c r="AA131" i="1"/>
  <c r="Z131" i="1"/>
  <c r="W131" i="1"/>
  <c r="U131" i="1"/>
  <c r="T131" i="1"/>
  <c r="Q131" i="1"/>
  <c r="O131" i="1"/>
  <c r="N131" i="1"/>
  <c r="J131" i="1"/>
  <c r="G131" i="1"/>
  <c r="E131" i="1"/>
  <c r="D131" i="1"/>
  <c r="AF120" i="1"/>
  <c r="AF128" i="1" s="1"/>
  <c r="AD120" i="1"/>
  <c r="AD128" i="1" s="1"/>
  <c r="AC120" i="1"/>
  <c r="AC128" i="1" s="1"/>
  <c r="AA120" i="1"/>
  <c r="AA128" i="1" s="1"/>
  <c r="Z120" i="1"/>
  <c r="Z128" i="1" s="1"/>
  <c r="X120" i="1"/>
  <c r="X128" i="1" s="1"/>
  <c r="W120" i="1"/>
  <c r="W128" i="1" s="1"/>
  <c r="U120" i="1"/>
  <c r="U128" i="1" s="1"/>
  <c r="T120" i="1"/>
  <c r="T128" i="1" s="1"/>
  <c r="R120" i="1"/>
  <c r="R128" i="1" s="1"/>
  <c r="Q120" i="1"/>
  <c r="Q128" i="1" s="1"/>
  <c r="O120" i="1"/>
  <c r="O128" i="1" s="1"/>
  <c r="N120" i="1"/>
  <c r="N128" i="1" s="1"/>
  <c r="L120" i="1"/>
  <c r="L128" i="1" s="1"/>
  <c r="J120" i="1"/>
  <c r="J128" i="1" s="1"/>
  <c r="H120" i="1"/>
  <c r="H128" i="1" s="1"/>
  <c r="G120" i="1"/>
  <c r="G128" i="1" s="1"/>
  <c r="E120" i="1"/>
  <c r="E128" i="1" s="1"/>
  <c r="D120" i="1"/>
  <c r="D128" i="1" s="1"/>
  <c r="B120" i="1"/>
  <c r="B128" i="1" s="1"/>
  <c r="AF119" i="1"/>
  <c r="AF127" i="1" s="1"/>
  <c r="AD119" i="1"/>
  <c r="AD127" i="1" s="1"/>
  <c r="AC119" i="1"/>
  <c r="AC127" i="1" s="1"/>
  <c r="AA119" i="1"/>
  <c r="AA127" i="1" s="1"/>
  <c r="Z119" i="1"/>
  <c r="Z127" i="1" s="1"/>
  <c r="X119" i="1"/>
  <c r="X127" i="1" s="1"/>
  <c r="W119" i="1"/>
  <c r="W127" i="1" s="1"/>
  <c r="U119" i="1"/>
  <c r="U127" i="1" s="1"/>
  <c r="T119" i="1"/>
  <c r="T127" i="1" s="1"/>
  <c r="R119" i="1"/>
  <c r="R127" i="1" s="1"/>
  <c r="Q119" i="1"/>
  <c r="Q127" i="1" s="1"/>
  <c r="O119" i="1"/>
  <c r="O127" i="1" s="1"/>
  <c r="N119" i="1"/>
  <c r="N127" i="1" s="1"/>
  <c r="L119" i="1"/>
  <c r="L127" i="1" s="1"/>
  <c r="J119" i="1"/>
  <c r="J127" i="1" s="1"/>
  <c r="H119" i="1"/>
  <c r="H127" i="1" s="1"/>
  <c r="G119" i="1"/>
  <c r="G127" i="1" s="1"/>
  <c r="E119" i="1"/>
  <c r="E127" i="1" s="1"/>
  <c r="D119" i="1"/>
  <c r="D127" i="1" s="1"/>
  <c r="B119" i="1"/>
  <c r="B127" i="1" s="1"/>
  <c r="AF118" i="1"/>
  <c r="AF126" i="1" s="1"/>
  <c r="AD118" i="1"/>
  <c r="AD126" i="1" s="1"/>
  <c r="AC118" i="1"/>
  <c r="AC126" i="1" s="1"/>
  <c r="AA118" i="1"/>
  <c r="AA126" i="1" s="1"/>
  <c r="Z118" i="1"/>
  <c r="Z126" i="1" s="1"/>
  <c r="X118" i="1"/>
  <c r="X126" i="1" s="1"/>
  <c r="W118" i="1"/>
  <c r="W126" i="1" s="1"/>
  <c r="U118" i="1"/>
  <c r="U126" i="1" s="1"/>
  <c r="T118" i="1"/>
  <c r="T126" i="1" s="1"/>
  <c r="R118" i="1"/>
  <c r="R126" i="1" s="1"/>
  <c r="Q118" i="1"/>
  <c r="Q126" i="1" s="1"/>
  <c r="O118" i="1"/>
  <c r="O126" i="1" s="1"/>
  <c r="N118" i="1"/>
  <c r="N126" i="1" s="1"/>
  <c r="L118" i="1"/>
  <c r="L126" i="1" s="1"/>
  <c r="J118" i="1"/>
  <c r="J126" i="1" s="1"/>
  <c r="H118" i="1"/>
  <c r="H126" i="1" s="1"/>
  <c r="G118" i="1"/>
  <c r="G126" i="1" s="1"/>
  <c r="E118" i="1"/>
  <c r="E126" i="1" s="1"/>
  <c r="D118" i="1"/>
  <c r="D126" i="1" s="1"/>
  <c r="B118" i="1"/>
  <c r="B126" i="1" s="1"/>
  <c r="AF117" i="1"/>
  <c r="AF125" i="1" s="1"/>
  <c r="AD117" i="1"/>
  <c r="AD125" i="1" s="1"/>
  <c r="AC117" i="1"/>
  <c r="AC125" i="1" s="1"/>
  <c r="AA117" i="1"/>
  <c r="AA125" i="1" s="1"/>
  <c r="Z117" i="1"/>
  <c r="Z125" i="1" s="1"/>
  <c r="X117" i="1"/>
  <c r="X125" i="1" s="1"/>
  <c r="W117" i="1"/>
  <c r="W125" i="1" s="1"/>
  <c r="U117" i="1"/>
  <c r="U125" i="1" s="1"/>
  <c r="T117" i="1"/>
  <c r="T125" i="1" s="1"/>
  <c r="R117" i="1"/>
  <c r="R125" i="1" s="1"/>
  <c r="Q117" i="1"/>
  <c r="Q125" i="1" s="1"/>
  <c r="O117" i="1"/>
  <c r="O125" i="1" s="1"/>
  <c r="N117" i="1"/>
  <c r="N125" i="1" s="1"/>
  <c r="L117" i="1"/>
  <c r="L125" i="1" s="1"/>
  <c r="J117" i="1"/>
  <c r="J125" i="1" s="1"/>
  <c r="H117" i="1"/>
  <c r="H125" i="1" s="1"/>
  <c r="G117" i="1"/>
  <c r="G125" i="1" s="1"/>
  <c r="E117" i="1"/>
  <c r="E125" i="1" s="1"/>
  <c r="D117" i="1"/>
  <c r="D125" i="1" s="1"/>
  <c r="B117" i="1"/>
  <c r="B125" i="1" s="1"/>
  <c r="AF116" i="1"/>
  <c r="AD116" i="1"/>
  <c r="AD124" i="1" s="1"/>
  <c r="AC116" i="1"/>
  <c r="AC121" i="1" s="1"/>
  <c r="AA116" i="1"/>
  <c r="AA121" i="1" s="1"/>
  <c r="Z116" i="1"/>
  <c r="Z124" i="1" s="1"/>
  <c r="X116" i="1"/>
  <c r="X124" i="1" s="1"/>
  <c r="W116" i="1"/>
  <c r="W151" i="1" s="1"/>
  <c r="U116" i="1"/>
  <c r="U124" i="1" s="1"/>
  <c r="T116" i="1"/>
  <c r="T150" i="1" s="1"/>
  <c r="R116" i="1"/>
  <c r="R124" i="1" s="1"/>
  <c r="Q116" i="1"/>
  <c r="Q121" i="1" s="1"/>
  <c r="O116" i="1"/>
  <c r="O121" i="1" s="1"/>
  <c r="N116" i="1"/>
  <c r="N124" i="1" s="1"/>
  <c r="L116" i="1"/>
  <c r="L124" i="1" s="1"/>
  <c r="J116" i="1"/>
  <c r="J151" i="1" s="1"/>
  <c r="H116" i="1"/>
  <c r="H124" i="1" s="1"/>
  <c r="G116" i="1"/>
  <c r="E116" i="1"/>
  <c r="E150" i="1" s="1"/>
  <c r="D116" i="1"/>
  <c r="B116" i="1"/>
  <c r="B149" i="1" s="1"/>
  <c r="AF115" i="1"/>
  <c r="AD115" i="1"/>
  <c r="AC115" i="1"/>
  <c r="AA115" i="1"/>
  <c r="Z115" i="1"/>
  <c r="X115" i="1"/>
  <c r="W115" i="1"/>
  <c r="U115" i="1"/>
  <c r="T115" i="1"/>
  <c r="AM111" i="1" s="1"/>
  <c r="R115" i="1"/>
  <c r="Q115" i="1"/>
  <c r="AL111" i="1" s="1"/>
  <c r="O115" i="1"/>
  <c r="N115" i="1"/>
  <c r="L115" i="1"/>
  <c r="J115" i="1"/>
  <c r="H115" i="1"/>
  <c r="G115" i="1"/>
  <c r="E115" i="1"/>
  <c r="D115" i="1"/>
  <c r="B115" i="1"/>
  <c r="AE114" i="1"/>
  <c r="AB114" i="1"/>
  <c r="Y114" i="1"/>
  <c r="V114" i="1"/>
  <c r="S114" i="1"/>
  <c r="P114" i="1"/>
  <c r="M114" i="1"/>
  <c r="I114" i="1"/>
  <c r="F114" i="1"/>
  <c r="A114" i="1"/>
  <c r="AQ113" i="1"/>
  <c r="AP113" i="1"/>
  <c r="AO113" i="1"/>
  <c r="AN113" i="1"/>
  <c r="AM113" i="1"/>
  <c r="AL113" i="1"/>
  <c r="AK113" i="1"/>
  <c r="AJ113" i="1"/>
  <c r="AI113" i="1"/>
  <c r="AH113" i="1"/>
  <c r="AG113" i="1"/>
  <c r="AE113" i="1"/>
  <c r="AB113" i="1"/>
  <c r="Y113" i="1"/>
  <c r="V113" i="1"/>
  <c r="S113" i="1"/>
  <c r="P113" i="1"/>
  <c r="M113" i="1"/>
  <c r="I113" i="1"/>
  <c r="F113" i="1"/>
  <c r="A113" i="1"/>
  <c r="AQ112" i="1"/>
  <c r="AP112" i="1"/>
  <c r="AO112" i="1"/>
  <c r="AN112" i="1"/>
  <c r="AM112" i="1"/>
  <c r="AL112" i="1"/>
  <c r="AK112" i="1"/>
  <c r="AJ112" i="1"/>
  <c r="AI112" i="1"/>
  <c r="AH112" i="1"/>
  <c r="AG112" i="1"/>
  <c r="AE112" i="1"/>
  <c r="AB112" i="1"/>
  <c r="Y112" i="1"/>
  <c r="V112" i="1"/>
  <c r="S112" i="1"/>
  <c r="P112" i="1"/>
  <c r="M112" i="1"/>
  <c r="I112" i="1"/>
  <c r="F112" i="1"/>
  <c r="A112" i="1"/>
  <c r="AQ111" i="1"/>
  <c r="AP111" i="1"/>
  <c r="AO111" i="1"/>
  <c r="AN111" i="1"/>
  <c r="AK111" i="1"/>
  <c r="AJ111" i="1"/>
  <c r="AG111" i="1"/>
  <c r="AE111" i="1"/>
  <c r="AB111" i="1"/>
  <c r="Y111" i="1"/>
  <c r="V111" i="1"/>
  <c r="S111" i="1"/>
  <c r="P111" i="1"/>
  <c r="M111" i="1"/>
  <c r="I111" i="1"/>
  <c r="F111" i="1"/>
  <c r="A111" i="1"/>
  <c r="AQ110" i="1"/>
  <c r="AP110" i="1"/>
  <c r="AO110" i="1"/>
  <c r="AN110" i="1"/>
  <c r="AK110" i="1"/>
  <c r="AH110" i="1"/>
  <c r="AG110" i="1"/>
  <c r="AE110" i="1"/>
  <c r="AB110" i="1"/>
  <c r="Y110" i="1"/>
  <c r="V110" i="1"/>
  <c r="S110" i="1"/>
  <c r="P110" i="1"/>
  <c r="M110" i="1"/>
  <c r="I110" i="1"/>
  <c r="F110" i="1"/>
  <c r="AQ109" i="1"/>
  <c r="AP109" i="1"/>
  <c r="AO109" i="1"/>
  <c r="AN109" i="1"/>
  <c r="AL109" i="1"/>
  <c r="AK109" i="1"/>
  <c r="AI109" i="1"/>
  <c r="AG109" i="1"/>
  <c r="AE109" i="1"/>
  <c r="AB109" i="1"/>
  <c r="Y109" i="1"/>
  <c r="V109" i="1"/>
  <c r="S109" i="1"/>
  <c r="P109" i="1"/>
  <c r="M109" i="1"/>
  <c r="I109" i="1"/>
  <c r="F109" i="1"/>
  <c r="AD107" i="1"/>
  <c r="AA107" i="1"/>
  <c r="X107" i="1"/>
  <c r="U107" i="1"/>
  <c r="R107" i="1"/>
  <c r="O107" i="1"/>
  <c r="L107" i="1"/>
  <c r="H107" i="1"/>
  <c r="E107" i="1"/>
  <c r="E102" i="1"/>
  <c r="E101" i="1"/>
  <c r="B168" i="1" s="1"/>
  <c r="A101" i="1"/>
  <c r="E100" i="1"/>
  <c r="E99" i="1"/>
  <c r="B167" i="1" s="1"/>
  <c r="A99" i="1"/>
  <c r="E97" i="1"/>
  <c r="B166" i="1" s="1"/>
  <c r="A97" i="1"/>
  <c r="A95" i="1"/>
  <c r="A93" i="1"/>
  <c r="S92" i="1"/>
  <c r="M92" i="1"/>
  <c r="K91" i="1"/>
  <c r="A89" i="1"/>
  <c r="AF85" i="1"/>
  <c r="AD85" i="1"/>
  <c r="AC85" i="1"/>
  <c r="AA85" i="1"/>
  <c r="Z85" i="1"/>
  <c r="X85" i="1"/>
  <c r="W85" i="1"/>
  <c r="U85" i="1"/>
  <c r="AF76" i="1"/>
  <c r="AD76" i="1"/>
  <c r="AC76" i="1"/>
  <c r="AA76" i="1"/>
  <c r="Z76" i="1"/>
  <c r="X76" i="1"/>
  <c r="W76" i="1"/>
  <c r="U76" i="1"/>
  <c r="T76" i="1"/>
  <c r="R76" i="1"/>
  <c r="Q76" i="1"/>
  <c r="O76" i="1"/>
  <c r="N76" i="1"/>
  <c r="L76" i="1"/>
  <c r="J76" i="1"/>
  <c r="H76" i="1"/>
  <c r="G76" i="1"/>
  <c r="E76" i="1"/>
  <c r="D76" i="1"/>
  <c r="B76" i="1"/>
  <c r="AF75" i="1"/>
  <c r="AD75" i="1"/>
  <c r="AC75" i="1"/>
  <c r="AA75" i="1"/>
  <c r="Z75" i="1"/>
  <c r="X75" i="1"/>
  <c r="W75" i="1"/>
  <c r="U75" i="1"/>
  <c r="T75" i="1"/>
  <c r="R75" i="1"/>
  <c r="O75" i="1"/>
  <c r="N75" i="1"/>
  <c r="L75" i="1"/>
  <c r="H75" i="1"/>
  <c r="E75" i="1"/>
  <c r="D75" i="1"/>
  <c r="B75" i="1"/>
  <c r="AF74" i="1"/>
  <c r="AD74" i="1"/>
  <c r="AC74" i="1"/>
  <c r="AA74" i="1"/>
  <c r="Z74" i="1"/>
  <c r="X74" i="1"/>
  <c r="W74" i="1"/>
  <c r="U74" i="1"/>
  <c r="T74" i="1"/>
  <c r="R74" i="1"/>
  <c r="Q74" i="1"/>
  <c r="L74" i="1"/>
  <c r="J74" i="1"/>
  <c r="H74" i="1"/>
  <c r="G74" i="1"/>
  <c r="E74" i="1"/>
  <c r="B74" i="1"/>
  <c r="AF73" i="1"/>
  <c r="AD73" i="1"/>
  <c r="AC73" i="1"/>
  <c r="AA73" i="1"/>
  <c r="Z73" i="1"/>
  <c r="X73" i="1"/>
  <c r="W73" i="1"/>
  <c r="U73" i="1"/>
  <c r="R73" i="1"/>
  <c r="Q73" i="1"/>
  <c r="O73" i="1"/>
  <c r="N73" i="1"/>
  <c r="L73" i="1"/>
  <c r="J73" i="1"/>
  <c r="G73" i="1"/>
  <c r="E73" i="1"/>
  <c r="D73" i="1"/>
  <c r="AF72" i="1"/>
  <c r="AD72" i="1"/>
  <c r="AC72" i="1"/>
  <c r="AA72" i="1"/>
  <c r="Z72" i="1"/>
  <c r="X72" i="1"/>
  <c r="W72" i="1"/>
  <c r="U72" i="1"/>
  <c r="T72" i="1"/>
  <c r="Q72" i="1"/>
  <c r="O72" i="1"/>
  <c r="N72" i="1"/>
  <c r="J72" i="1"/>
  <c r="H72" i="1"/>
  <c r="G72" i="1"/>
  <c r="D72" i="1"/>
  <c r="B72" i="1"/>
  <c r="AF68" i="1"/>
  <c r="AD68" i="1"/>
  <c r="AC68" i="1"/>
  <c r="AA68" i="1"/>
  <c r="Z68" i="1"/>
  <c r="X68" i="1"/>
  <c r="W68" i="1"/>
  <c r="U68" i="1"/>
  <c r="T68" i="1"/>
  <c r="R68" i="1"/>
  <c r="Q68" i="1"/>
  <c r="O68" i="1"/>
  <c r="N68" i="1"/>
  <c r="L68" i="1"/>
  <c r="J68" i="1"/>
  <c r="H68" i="1"/>
  <c r="G68" i="1"/>
  <c r="E68" i="1"/>
  <c r="D68" i="1"/>
  <c r="B68" i="1"/>
  <c r="AF67" i="1"/>
  <c r="AD67" i="1"/>
  <c r="AC67" i="1"/>
  <c r="AA67" i="1"/>
  <c r="Z67" i="1"/>
  <c r="X67" i="1"/>
  <c r="W67" i="1"/>
  <c r="U67" i="1"/>
  <c r="T67" i="1"/>
  <c r="R67" i="1"/>
  <c r="O67" i="1"/>
  <c r="N67" i="1"/>
  <c r="L67" i="1"/>
  <c r="H67" i="1"/>
  <c r="E67" i="1"/>
  <c r="D67" i="1"/>
  <c r="B67" i="1"/>
  <c r="AF66" i="1"/>
  <c r="AD66" i="1"/>
  <c r="AC66" i="1"/>
  <c r="AA66" i="1"/>
  <c r="Z66" i="1"/>
  <c r="X66" i="1"/>
  <c r="W66" i="1"/>
  <c r="U66" i="1"/>
  <c r="T66" i="1"/>
  <c r="R66" i="1"/>
  <c r="Q66" i="1"/>
  <c r="L66" i="1"/>
  <c r="J66" i="1"/>
  <c r="H66" i="1"/>
  <c r="G66" i="1"/>
  <c r="E66" i="1"/>
  <c r="B66" i="1"/>
  <c r="AF65" i="1"/>
  <c r="AD65" i="1"/>
  <c r="AC65" i="1"/>
  <c r="AA65" i="1"/>
  <c r="Z65" i="1"/>
  <c r="X65" i="1"/>
  <c r="W65" i="1"/>
  <c r="U65" i="1"/>
  <c r="R65" i="1"/>
  <c r="Q65" i="1"/>
  <c r="O65" i="1"/>
  <c r="N65" i="1"/>
  <c r="L65" i="1"/>
  <c r="J65" i="1"/>
  <c r="G65" i="1"/>
  <c r="E65" i="1"/>
  <c r="D65" i="1"/>
  <c r="AF64" i="1"/>
  <c r="AD64" i="1"/>
  <c r="AC64" i="1"/>
  <c r="AA64" i="1"/>
  <c r="Z64" i="1"/>
  <c r="X64" i="1"/>
  <c r="W64" i="1"/>
  <c r="U64" i="1"/>
  <c r="T64" i="1"/>
  <c r="Q64" i="1"/>
  <c r="O64" i="1"/>
  <c r="N64" i="1"/>
  <c r="J64" i="1"/>
  <c r="H64" i="1"/>
  <c r="G64" i="1"/>
  <c r="D64" i="1"/>
  <c r="B64" i="1"/>
  <c r="AF62" i="1"/>
  <c r="AD62" i="1"/>
  <c r="AC62" i="1"/>
  <c r="AA62" i="1"/>
  <c r="Z62" i="1"/>
  <c r="X62" i="1"/>
  <c r="W62" i="1"/>
  <c r="U62" i="1"/>
  <c r="T62" i="1"/>
  <c r="R62" i="1"/>
  <c r="Q62" i="1"/>
  <c r="O62" i="1"/>
  <c r="N62" i="1"/>
  <c r="L62" i="1"/>
  <c r="J62" i="1"/>
  <c r="H62" i="1"/>
  <c r="G62" i="1"/>
  <c r="E62" i="1"/>
  <c r="D62" i="1"/>
  <c r="B62" i="1"/>
  <c r="AF61" i="1"/>
  <c r="AD61" i="1"/>
  <c r="AC61" i="1"/>
  <c r="AA61" i="1"/>
  <c r="Z61" i="1"/>
  <c r="X61" i="1"/>
  <c r="W61" i="1"/>
  <c r="U61" i="1"/>
  <c r="T61" i="1"/>
  <c r="R61" i="1"/>
  <c r="O61" i="1"/>
  <c r="N61" i="1"/>
  <c r="L61" i="1"/>
  <c r="H61" i="1"/>
  <c r="E61" i="1"/>
  <c r="D61" i="1"/>
  <c r="B61" i="1"/>
  <c r="AF60" i="1"/>
  <c r="AD60" i="1"/>
  <c r="AC60" i="1"/>
  <c r="AA60" i="1"/>
  <c r="Z60" i="1"/>
  <c r="X60" i="1"/>
  <c r="W60" i="1"/>
  <c r="U60" i="1"/>
  <c r="T60" i="1"/>
  <c r="R60" i="1"/>
  <c r="Q60" i="1"/>
  <c r="L60" i="1"/>
  <c r="J60" i="1"/>
  <c r="H60" i="1"/>
  <c r="G60" i="1"/>
  <c r="E60" i="1"/>
  <c r="B60" i="1"/>
  <c r="AF59" i="1"/>
  <c r="AD59" i="1"/>
  <c r="AC59" i="1"/>
  <c r="AA59" i="1"/>
  <c r="Z59" i="1"/>
  <c r="X59" i="1"/>
  <c r="W59" i="1"/>
  <c r="U59" i="1"/>
  <c r="R59" i="1"/>
  <c r="Q59" i="1"/>
  <c r="O59" i="1"/>
  <c r="N59" i="1"/>
  <c r="L59" i="1"/>
  <c r="J59" i="1"/>
  <c r="G59" i="1"/>
  <c r="E59" i="1"/>
  <c r="D59" i="1"/>
  <c r="AF58" i="1"/>
  <c r="AD58" i="1"/>
  <c r="AC58" i="1"/>
  <c r="AA58" i="1"/>
  <c r="Z58" i="1"/>
  <c r="X58" i="1"/>
  <c r="W58" i="1"/>
  <c r="U58" i="1"/>
  <c r="T58" i="1"/>
  <c r="Q58" i="1"/>
  <c r="O58" i="1"/>
  <c r="N58" i="1"/>
  <c r="J58" i="1"/>
  <c r="H58" i="1"/>
  <c r="G58" i="1"/>
  <c r="D58" i="1"/>
  <c r="B58" i="1"/>
  <c r="AF56" i="1"/>
  <c r="AD56" i="1"/>
  <c r="AC56" i="1"/>
  <c r="AA56" i="1"/>
  <c r="Z56" i="1"/>
  <c r="X56" i="1"/>
  <c r="W56" i="1"/>
  <c r="U56" i="1"/>
  <c r="T56" i="1"/>
  <c r="R56" i="1"/>
  <c r="Q56" i="1"/>
  <c r="O56" i="1"/>
  <c r="N56" i="1"/>
  <c r="L56" i="1"/>
  <c r="J56" i="1"/>
  <c r="H56" i="1"/>
  <c r="G56" i="1"/>
  <c r="E56" i="1"/>
  <c r="D56" i="1"/>
  <c r="B56" i="1"/>
  <c r="AF55" i="1"/>
  <c r="AD55" i="1"/>
  <c r="AC55" i="1"/>
  <c r="AA55" i="1"/>
  <c r="Z55" i="1"/>
  <c r="X55" i="1"/>
  <c r="W55" i="1"/>
  <c r="U55" i="1"/>
  <c r="T55" i="1"/>
  <c r="R55" i="1"/>
  <c r="O55" i="1"/>
  <c r="N55" i="1"/>
  <c r="L55" i="1"/>
  <c r="H55" i="1"/>
  <c r="E55" i="1"/>
  <c r="D55" i="1"/>
  <c r="B55" i="1"/>
  <c r="AF54" i="1"/>
  <c r="AD54" i="1"/>
  <c r="AC54" i="1"/>
  <c r="AA54" i="1"/>
  <c r="Z54" i="1"/>
  <c r="X54" i="1"/>
  <c r="W54" i="1"/>
  <c r="U54" i="1"/>
  <c r="T54" i="1"/>
  <c r="R54" i="1"/>
  <c r="Q54" i="1"/>
  <c r="L54" i="1"/>
  <c r="J54" i="1"/>
  <c r="H54" i="1"/>
  <c r="G54" i="1"/>
  <c r="E54" i="1"/>
  <c r="B54" i="1"/>
  <c r="AF53" i="1"/>
  <c r="AD53" i="1"/>
  <c r="AC53" i="1"/>
  <c r="AA53" i="1"/>
  <c r="Z53" i="1"/>
  <c r="X53" i="1"/>
  <c r="W53" i="1"/>
  <c r="U53" i="1"/>
  <c r="R53" i="1"/>
  <c r="Q53" i="1"/>
  <c r="O53" i="1"/>
  <c r="N53" i="1"/>
  <c r="L53" i="1"/>
  <c r="J53" i="1"/>
  <c r="G53" i="1"/>
  <c r="E53" i="1"/>
  <c r="D53" i="1"/>
  <c r="AF52" i="1"/>
  <c r="AD52" i="1"/>
  <c r="AC52" i="1"/>
  <c r="AA52" i="1"/>
  <c r="Z52" i="1"/>
  <c r="X52" i="1"/>
  <c r="W52" i="1"/>
  <c r="U52" i="1"/>
  <c r="T52" i="1"/>
  <c r="Q52" i="1"/>
  <c r="O52" i="1"/>
  <c r="N52" i="1"/>
  <c r="J52" i="1"/>
  <c r="H52" i="1"/>
  <c r="G52" i="1"/>
  <c r="D52" i="1"/>
  <c r="B52" i="1"/>
  <c r="AF50" i="1"/>
  <c r="AD50" i="1"/>
  <c r="AC50" i="1"/>
  <c r="AA50" i="1"/>
  <c r="Z50" i="1"/>
  <c r="X50" i="1"/>
  <c r="W50" i="1"/>
  <c r="U50" i="1"/>
  <c r="T50" i="1"/>
  <c r="R50" i="1"/>
  <c r="Q50" i="1"/>
  <c r="O50" i="1"/>
  <c r="N50" i="1"/>
  <c r="L50" i="1"/>
  <c r="J50" i="1"/>
  <c r="H50" i="1"/>
  <c r="G50" i="1"/>
  <c r="E50" i="1"/>
  <c r="D50" i="1"/>
  <c r="B50" i="1"/>
  <c r="AF49" i="1"/>
  <c r="AD49" i="1"/>
  <c r="AC49" i="1"/>
  <c r="AA49" i="1"/>
  <c r="Z49" i="1"/>
  <c r="X49" i="1"/>
  <c r="W49" i="1"/>
  <c r="U49" i="1"/>
  <c r="T49" i="1"/>
  <c r="R49" i="1"/>
  <c r="O49" i="1"/>
  <c r="N49" i="1"/>
  <c r="L49" i="1"/>
  <c r="H49" i="1"/>
  <c r="E49" i="1"/>
  <c r="D49" i="1"/>
  <c r="B49" i="1"/>
  <c r="AF48" i="1"/>
  <c r="AD48" i="1"/>
  <c r="AC48" i="1"/>
  <c r="AA48" i="1"/>
  <c r="Z48" i="1"/>
  <c r="X48" i="1"/>
  <c r="W48" i="1"/>
  <c r="U48" i="1"/>
  <c r="T48" i="1"/>
  <c r="R48" i="1"/>
  <c r="Q48" i="1"/>
  <c r="L48" i="1"/>
  <c r="J48" i="1"/>
  <c r="H48" i="1"/>
  <c r="G48" i="1"/>
  <c r="E48" i="1"/>
  <c r="B48" i="1"/>
  <c r="AF47" i="1"/>
  <c r="AD47" i="1"/>
  <c r="AC47" i="1"/>
  <c r="AA47" i="1"/>
  <c r="Z47" i="1"/>
  <c r="X47" i="1"/>
  <c r="W47" i="1"/>
  <c r="U47" i="1"/>
  <c r="R47" i="1"/>
  <c r="Q47" i="1"/>
  <c r="O47" i="1"/>
  <c r="N47" i="1"/>
  <c r="L47" i="1"/>
  <c r="J47" i="1"/>
  <c r="G47" i="1"/>
  <c r="E47" i="1"/>
  <c r="D47" i="1"/>
  <c r="AF46" i="1"/>
  <c r="AD46" i="1"/>
  <c r="AC46" i="1"/>
  <c r="AA46" i="1"/>
  <c r="Z46" i="1"/>
  <c r="X46" i="1"/>
  <c r="W46" i="1"/>
  <c r="U46" i="1"/>
  <c r="T46" i="1"/>
  <c r="Q46" i="1"/>
  <c r="O46" i="1"/>
  <c r="N46" i="1"/>
  <c r="J46" i="1"/>
  <c r="H46" i="1"/>
  <c r="G46" i="1"/>
  <c r="D46" i="1"/>
  <c r="B46" i="1"/>
  <c r="Q43" i="1"/>
  <c r="Q41" i="1"/>
  <c r="D39" i="1"/>
  <c r="AF35" i="1"/>
  <c r="AF43" i="1" s="1"/>
  <c r="AD35" i="1"/>
  <c r="AD43" i="1" s="1"/>
  <c r="AC35" i="1"/>
  <c r="AC43" i="1" s="1"/>
  <c r="AA35" i="1"/>
  <c r="AA43" i="1" s="1"/>
  <c r="Z35" i="1"/>
  <c r="Z43" i="1" s="1"/>
  <c r="X35" i="1"/>
  <c r="X43" i="1" s="1"/>
  <c r="W35" i="1"/>
  <c r="W43" i="1" s="1"/>
  <c r="U35" i="1"/>
  <c r="U43" i="1" s="1"/>
  <c r="T35" i="1"/>
  <c r="T43" i="1" s="1"/>
  <c r="R35" i="1"/>
  <c r="R43" i="1" s="1"/>
  <c r="Q35" i="1"/>
  <c r="O35" i="1"/>
  <c r="O43" i="1" s="1"/>
  <c r="N35" i="1"/>
  <c r="N43" i="1" s="1"/>
  <c r="L35" i="1"/>
  <c r="L43" i="1" s="1"/>
  <c r="J35" i="1"/>
  <c r="J43" i="1" s="1"/>
  <c r="H35" i="1"/>
  <c r="H43" i="1" s="1"/>
  <c r="G35" i="1"/>
  <c r="G43" i="1" s="1"/>
  <c r="E35" i="1"/>
  <c r="E43" i="1" s="1"/>
  <c r="D35" i="1"/>
  <c r="D43" i="1" s="1"/>
  <c r="B35" i="1"/>
  <c r="B43" i="1" s="1"/>
  <c r="AF34" i="1"/>
  <c r="AF42" i="1" s="1"/>
  <c r="AD34" i="1"/>
  <c r="AD42" i="1" s="1"/>
  <c r="AC34" i="1"/>
  <c r="AC42" i="1" s="1"/>
  <c r="AA34" i="1"/>
  <c r="AA42" i="1" s="1"/>
  <c r="Z34" i="1"/>
  <c r="Z42" i="1" s="1"/>
  <c r="X34" i="1"/>
  <c r="X42" i="1" s="1"/>
  <c r="W34" i="1"/>
  <c r="W42" i="1" s="1"/>
  <c r="U34" i="1"/>
  <c r="U42" i="1" s="1"/>
  <c r="T34" i="1"/>
  <c r="T42" i="1" s="1"/>
  <c r="R34" i="1"/>
  <c r="R42" i="1" s="1"/>
  <c r="Q34" i="1"/>
  <c r="Q42" i="1" s="1"/>
  <c r="O34" i="1"/>
  <c r="O42" i="1" s="1"/>
  <c r="N34" i="1"/>
  <c r="N42" i="1" s="1"/>
  <c r="L34" i="1"/>
  <c r="L42" i="1" s="1"/>
  <c r="J34" i="1"/>
  <c r="J42" i="1" s="1"/>
  <c r="H34" i="1"/>
  <c r="H42" i="1" s="1"/>
  <c r="G34" i="1"/>
  <c r="G42" i="1" s="1"/>
  <c r="E34" i="1"/>
  <c r="E42" i="1" s="1"/>
  <c r="D34" i="1"/>
  <c r="D42" i="1" s="1"/>
  <c r="B34" i="1"/>
  <c r="B42" i="1" s="1"/>
  <c r="AF33" i="1"/>
  <c r="AF41" i="1" s="1"/>
  <c r="AD33" i="1"/>
  <c r="AD41" i="1" s="1"/>
  <c r="AC33" i="1"/>
  <c r="AC41" i="1" s="1"/>
  <c r="AA33" i="1"/>
  <c r="AA41" i="1" s="1"/>
  <c r="Z33" i="1"/>
  <c r="Z41" i="1" s="1"/>
  <c r="X33" i="1"/>
  <c r="X41" i="1" s="1"/>
  <c r="W33" i="1"/>
  <c r="W41" i="1" s="1"/>
  <c r="U33" i="1"/>
  <c r="U41" i="1" s="1"/>
  <c r="T33" i="1"/>
  <c r="T41" i="1" s="1"/>
  <c r="R33" i="1"/>
  <c r="R41" i="1" s="1"/>
  <c r="Q33" i="1"/>
  <c r="O33" i="1"/>
  <c r="O41" i="1" s="1"/>
  <c r="N33" i="1"/>
  <c r="N41" i="1" s="1"/>
  <c r="L33" i="1"/>
  <c r="L41" i="1" s="1"/>
  <c r="J33" i="1"/>
  <c r="J41" i="1" s="1"/>
  <c r="H33" i="1"/>
  <c r="H41" i="1" s="1"/>
  <c r="G33" i="1"/>
  <c r="G41" i="1" s="1"/>
  <c r="E33" i="1"/>
  <c r="E41" i="1" s="1"/>
  <c r="D33" i="1"/>
  <c r="D41" i="1" s="1"/>
  <c r="B33" i="1"/>
  <c r="B41" i="1" s="1"/>
  <c r="AF32" i="1"/>
  <c r="AF40" i="1" s="1"/>
  <c r="AD32" i="1"/>
  <c r="AD40" i="1" s="1"/>
  <c r="AC32" i="1"/>
  <c r="AC40" i="1" s="1"/>
  <c r="AA32" i="1"/>
  <c r="AA40" i="1" s="1"/>
  <c r="Z32" i="1"/>
  <c r="Z40" i="1" s="1"/>
  <c r="X32" i="1"/>
  <c r="X40" i="1" s="1"/>
  <c r="W32" i="1"/>
  <c r="W40" i="1" s="1"/>
  <c r="U32" i="1"/>
  <c r="U40" i="1" s="1"/>
  <c r="T32" i="1"/>
  <c r="T40" i="1" s="1"/>
  <c r="R32" i="1"/>
  <c r="R40" i="1" s="1"/>
  <c r="Q32" i="1"/>
  <c r="Q40" i="1" s="1"/>
  <c r="O32" i="1"/>
  <c r="O40" i="1" s="1"/>
  <c r="N32" i="1"/>
  <c r="N40" i="1" s="1"/>
  <c r="L32" i="1"/>
  <c r="L40" i="1" s="1"/>
  <c r="J32" i="1"/>
  <c r="J40" i="1" s="1"/>
  <c r="H32" i="1"/>
  <c r="H40" i="1" s="1"/>
  <c r="G32" i="1"/>
  <c r="G40" i="1" s="1"/>
  <c r="E32" i="1"/>
  <c r="E40" i="1" s="1"/>
  <c r="D32" i="1"/>
  <c r="D40" i="1" s="1"/>
  <c r="B32" i="1"/>
  <c r="B40" i="1" s="1"/>
  <c r="AF31" i="1"/>
  <c r="AF36" i="1" s="1"/>
  <c r="AD31" i="1"/>
  <c r="AD39" i="1" s="1"/>
  <c r="AC31" i="1"/>
  <c r="AC36" i="1" s="1"/>
  <c r="AA31" i="1"/>
  <c r="AA39" i="1" s="1"/>
  <c r="Z31" i="1"/>
  <c r="Z39" i="1" s="1"/>
  <c r="X31" i="1"/>
  <c r="X39" i="1" s="1"/>
  <c r="W31" i="1"/>
  <c r="W36" i="1" s="1"/>
  <c r="U31" i="1"/>
  <c r="U36" i="1" s="1"/>
  <c r="T31" i="1"/>
  <c r="T36" i="1" s="1"/>
  <c r="R31" i="1"/>
  <c r="R39" i="1" s="1"/>
  <c r="Q31" i="1"/>
  <c r="Q67" i="1" s="1"/>
  <c r="O31" i="1"/>
  <c r="O66" i="1" s="1"/>
  <c r="N31" i="1"/>
  <c r="N66" i="1" s="1"/>
  <c r="L31" i="1"/>
  <c r="L39" i="1" s="1"/>
  <c r="J31" i="1"/>
  <c r="H31" i="1"/>
  <c r="H36" i="1" s="1"/>
  <c r="G31" i="1"/>
  <c r="G36" i="1" s="1"/>
  <c r="E31" i="1"/>
  <c r="E39" i="1" s="1"/>
  <c r="D31" i="1"/>
  <c r="D36" i="1" s="1"/>
  <c r="B31" i="1"/>
  <c r="B39" i="1" s="1"/>
  <c r="AF30" i="1"/>
  <c r="AD30" i="1"/>
  <c r="AC30" i="1"/>
  <c r="AA30" i="1"/>
  <c r="Z30" i="1"/>
  <c r="X30" i="1"/>
  <c r="W30" i="1"/>
  <c r="U30" i="1"/>
  <c r="T30" i="1"/>
  <c r="R30" i="1"/>
  <c r="Q30" i="1"/>
  <c r="O30" i="1"/>
  <c r="AL27" i="1" s="1"/>
  <c r="N30" i="1"/>
  <c r="L30" i="1"/>
  <c r="J30" i="1"/>
  <c r="H30" i="1"/>
  <c r="AJ25" i="1" s="1"/>
  <c r="G30" i="1"/>
  <c r="E30" i="1"/>
  <c r="D30" i="1"/>
  <c r="B30" i="1"/>
  <c r="AH25" i="1" s="1"/>
  <c r="AE29" i="1"/>
  <c r="AB29" i="1"/>
  <c r="Y29" i="1"/>
  <c r="V29" i="1"/>
  <c r="S29" i="1"/>
  <c r="P29" i="1"/>
  <c r="M29" i="1"/>
  <c r="I29" i="1"/>
  <c r="F29" i="1"/>
  <c r="A29" i="1"/>
  <c r="AQ28" i="1"/>
  <c r="AP28" i="1"/>
  <c r="AO28" i="1"/>
  <c r="AN28" i="1"/>
  <c r="AM28" i="1"/>
  <c r="AL28" i="1"/>
  <c r="AK28" i="1"/>
  <c r="AJ28" i="1"/>
  <c r="AI28" i="1"/>
  <c r="AH28" i="1"/>
  <c r="AG28" i="1"/>
  <c r="AE28" i="1"/>
  <c r="AB28" i="1"/>
  <c r="Y28" i="1"/>
  <c r="V28" i="1"/>
  <c r="S28" i="1"/>
  <c r="P28" i="1"/>
  <c r="M28" i="1"/>
  <c r="I28" i="1"/>
  <c r="F28" i="1"/>
  <c r="A28" i="1"/>
  <c r="AQ27" i="1"/>
  <c r="AP27" i="1"/>
  <c r="AO27" i="1"/>
  <c r="AN27" i="1"/>
  <c r="AM27" i="1"/>
  <c r="AK27" i="1"/>
  <c r="AH27" i="1"/>
  <c r="AG27" i="1"/>
  <c r="AE27" i="1"/>
  <c r="AB27" i="1"/>
  <c r="Y27" i="1"/>
  <c r="V27" i="1"/>
  <c r="S27" i="1"/>
  <c r="P27" i="1"/>
  <c r="M27" i="1"/>
  <c r="I27" i="1"/>
  <c r="F27" i="1"/>
  <c r="A27" i="1"/>
  <c r="AQ26" i="1"/>
  <c r="AP26" i="1"/>
  <c r="AO26" i="1"/>
  <c r="AN26" i="1"/>
  <c r="AM26" i="1"/>
  <c r="AJ26" i="1"/>
  <c r="AI26" i="1"/>
  <c r="AG26" i="1"/>
  <c r="AE26" i="1"/>
  <c r="AB26" i="1"/>
  <c r="Y26" i="1"/>
  <c r="V26" i="1"/>
  <c r="S26" i="1"/>
  <c r="P26" i="1"/>
  <c r="M26" i="1"/>
  <c r="I26" i="1"/>
  <c r="F26" i="1"/>
  <c r="A26" i="1"/>
  <c r="AQ25" i="1"/>
  <c r="AP25" i="1"/>
  <c r="AO25" i="1"/>
  <c r="AN25" i="1"/>
  <c r="AL25" i="1"/>
  <c r="AK25" i="1"/>
  <c r="AI25" i="1"/>
  <c r="AG25" i="1"/>
  <c r="AE25" i="1"/>
  <c r="AB25" i="1"/>
  <c r="Y25" i="1"/>
  <c r="V25" i="1"/>
  <c r="S25" i="1"/>
  <c r="P25" i="1"/>
  <c r="M25" i="1"/>
  <c r="I25" i="1"/>
  <c r="F25" i="1"/>
  <c r="AQ24" i="1"/>
  <c r="AP24" i="1"/>
  <c r="AO24" i="1"/>
  <c r="AN24" i="1"/>
  <c r="AL24" i="1"/>
  <c r="AJ24" i="1"/>
  <c r="AH24" i="1"/>
  <c r="AG24" i="1"/>
  <c r="AE24" i="1"/>
  <c r="AB24" i="1"/>
  <c r="Y24" i="1"/>
  <c r="V24" i="1"/>
  <c r="S24" i="1"/>
  <c r="P24" i="1"/>
  <c r="M24" i="1"/>
  <c r="I24" i="1"/>
  <c r="F24" i="1"/>
  <c r="AD22" i="1"/>
  <c r="AA22" i="1"/>
  <c r="X22" i="1"/>
  <c r="U22" i="1"/>
  <c r="R22" i="1"/>
  <c r="O22" i="1"/>
  <c r="L22" i="1"/>
  <c r="H22" i="1"/>
  <c r="E22" i="1"/>
  <c r="E17" i="1"/>
  <c r="E16" i="1"/>
  <c r="B83" i="1" s="1"/>
  <c r="A16" i="1"/>
  <c r="A14" i="1"/>
  <c r="A12" i="1"/>
  <c r="A10" i="1"/>
  <c r="A8" i="1"/>
  <c r="S7" i="1"/>
  <c r="M7" i="1"/>
  <c r="K6" i="1"/>
  <c r="C336" i="5" l="1"/>
  <c r="D335" i="5"/>
  <c r="C185" i="5"/>
  <c r="D184" i="5"/>
  <c r="AR110" i="4"/>
  <c r="X95" i="4" s="1"/>
  <c r="N122" i="4"/>
  <c r="N133" i="4" s="1"/>
  <c r="H122" i="4"/>
  <c r="H129" i="4"/>
  <c r="J144" i="4" s="1"/>
  <c r="AG150" i="4"/>
  <c r="E129" i="4"/>
  <c r="AR111" i="4"/>
  <c r="X97" i="4" s="1"/>
  <c r="AG65" i="4"/>
  <c r="AG72" i="4"/>
  <c r="AD8" i="4" s="1"/>
  <c r="E58" i="4"/>
  <c r="G37" i="4"/>
  <c r="G49" i="4" s="1"/>
  <c r="C71" i="4"/>
  <c r="B37" i="4" s="1"/>
  <c r="L58" i="4"/>
  <c r="N60" i="4"/>
  <c r="T59" i="4"/>
  <c r="R58" i="4"/>
  <c r="I156" i="4"/>
  <c r="Z86" i="4"/>
  <c r="Z87" i="4" s="1"/>
  <c r="AD86" i="4"/>
  <c r="AD87" i="4" s="1"/>
  <c r="AG151" i="4"/>
  <c r="AR109" i="4"/>
  <c r="X93" i="4" s="1"/>
  <c r="N37" i="4"/>
  <c r="N48" i="4" s="1"/>
  <c r="AR24" i="4"/>
  <c r="X8" i="4" s="1"/>
  <c r="AF37" i="4"/>
  <c r="AE37" i="4" s="1"/>
  <c r="AH50" i="4"/>
  <c r="S16" i="4" s="1"/>
  <c r="AA129" i="4"/>
  <c r="AA145" i="4" s="1"/>
  <c r="O129" i="4"/>
  <c r="B129" i="4"/>
  <c r="B143" i="4" s="1"/>
  <c r="X86" i="4"/>
  <c r="X87" i="4" s="1"/>
  <c r="Z37" i="4"/>
  <c r="R37" i="4"/>
  <c r="R46" i="4" s="1"/>
  <c r="AH68" i="4"/>
  <c r="AG150" i="3"/>
  <c r="P156" i="3"/>
  <c r="Q159" i="3" s="1"/>
  <c r="H129" i="3"/>
  <c r="AR109" i="3"/>
  <c r="X93" i="3" s="1"/>
  <c r="D122" i="3"/>
  <c r="D133" i="3" s="1"/>
  <c r="B129" i="3"/>
  <c r="D145" i="3" s="1"/>
  <c r="R44" i="3"/>
  <c r="O74" i="3"/>
  <c r="Q75" i="3"/>
  <c r="O37" i="3"/>
  <c r="O48" i="3" s="1"/>
  <c r="G37" i="3"/>
  <c r="G49" i="3" s="1"/>
  <c r="AH50" i="3"/>
  <c r="S16" i="3" s="1"/>
  <c r="J233" i="3"/>
  <c r="AD143" i="3"/>
  <c r="AF144" i="3"/>
  <c r="O158" i="3"/>
  <c r="O60" i="3"/>
  <c r="Q61" i="3"/>
  <c r="G159" i="3"/>
  <c r="E158" i="3"/>
  <c r="E122" i="3"/>
  <c r="N74" i="3"/>
  <c r="L72" i="3"/>
  <c r="AC160" i="4"/>
  <c r="AA159" i="4"/>
  <c r="O158" i="4"/>
  <c r="Q159" i="4"/>
  <c r="O74" i="4"/>
  <c r="Q75" i="4"/>
  <c r="O60" i="4"/>
  <c r="Q61" i="4"/>
  <c r="AA159" i="3"/>
  <c r="AC160" i="3"/>
  <c r="G61" i="3"/>
  <c r="E58" i="3"/>
  <c r="H73" i="3"/>
  <c r="J75" i="3"/>
  <c r="T73" i="3"/>
  <c r="R72" i="3"/>
  <c r="J61" i="3"/>
  <c r="H59" i="3"/>
  <c r="J231" i="4"/>
  <c r="J233" i="4" s="1"/>
  <c r="F203" i="4"/>
  <c r="U132" i="4"/>
  <c r="AC146" i="4"/>
  <c r="AG146" i="4" s="1"/>
  <c r="AA99" i="4" s="1"/>
  <c r="O144" i="4"/>
  <c r="Q145" i="4"/>
  <c r="X131" i="4"/>
  <c r="AF158" i="4"/>
  <c r="AD157" i="4"/>
  <c r="T158" i="4"/>
  <c r="R157" i="4"/>
  <c r="G145" i="4"/>
  <c r="E144" i="4"/>
  <c r="H73" i="4"/>
  <c r="J75" i="4"/>
  <c r="AH68" i="3"/>
  <c r="AD16" i="3"/>
  <c r="E11" i="4"/>
  <c r="H179" i="4" s="1"/>
  <c r="K210" i="4" s="1"/>
  <c r="AT79" i="3"/>
  <c r="C79" i="3"/>
  <c r="D79" i="3" s="1"/>
  <c r="E85" i="3" s="1"/>
  <c r="AD157" i="3"/>
  <c r="AF158" i="3"/>
  <c r="R129" i="3"/>
  <c r="AU3" i="4"/>
  <c r="B210" i="3"/>
  <c r="AC37" i="3"/>
  <c r="AG66" i="3"/>
  <c r="V37" i="3"/>
  <c r="Q145" i="3"/>
  <c r="O144" i="3"/>
  <c r="U158" i="4"/>
  <c r="W159" i="4"/>
  <c r="O132" i="4"/>
  <c r="C156" i="4"/>
  <c r="B122" i="4" s="1"/>
  <c r="B131" i="4" s="1"/>
  <c r="AG149" i="4"/>
  <c r="R122" i="4"/>
  <c r="AF144" i="4"/>
  <c r="AD143" i="4"/>
  <c r="R129" i="4"/>
  <c r="AG67" i="4"/>
  <c r="B59" i="4"/>
  <c r="D60" i="4"/>
  <c r="B73" i="4"/>
  <c r="D74" i="4"/>
  <c r="AR26" i="4"/>
  <c r="X12" i="4" s="1"/>
  <c r="AA86" i="3"/>
  <c r="AA87" i="3" s="1"/>
  <c r="C156" i="3"/>
  <c r="B122" i="3" s="1"/>
  <c r="AG149" i="3"/>
  <c r="B211" i="3"/>
  <c r="C164" i="3"/>
  <c r="B170" i="3" s="1"/>
  <c r="AT164" i="3"/>
  <c r="AU4" i="4"/>
  <c r="Y210" i="3"/>
  <c r="AC193" i="3" s="1"/>
  <c r="AU9" i="4"/>
  <c r="B212" i="3"/>
  <c r="C166" i="3"/>
  <c r="D170" i="3" s="1"/>
  <c r="AT166" i="3"/>
  <c r="Z147" i="3"/>
  <c r="AG147" i="3" s="1"/>
  <c r="AA101" i="3" s="1"/>
  <c r="X143" i="3"/>
  <c r="S156" i="3"/>
  <c r="R122" i="3" s="1"/>
  <c r="R131" i="3" s="1"/>
  <c r="R58" i="3"/>
  <c r="T59" i="3"/>
  <c r="L37" i="3"/>
  <c r="W37" i="3"/>
  <c r="W86" i="3"/>
  <c r="W87" i="3" s="1"/>
  <c r="F71" i="3"/>
  <c r="E37" i="3" s="1"/>
  <c r="H131" i="3"/>
  <c r="I122" i="3"/>
  <c r="H59" i="4"/>
  <c r="J61" i="4"/>
  <c r="AR25" i="4"/>
  <c r="X10" i="4" s="1"/>
  <c r="AA145" i="3"/>
  <c r="AC146" i="3"/>
  <c r="AG146" i="3" s="1"/>
  <c r="AA99" i="3" s="1"/>
  <c r="B143" i="3"/>
  <c r="C165" i="3"/>
  <c r="D165" i="3" s="1"/>
  <c r="E170" i="3" s="1"/>
  <c r="AT165" i="3"/>
  <c r="E9" i="4"/>
  <c r="AL179" i="4" s="1"/>
  <c r="AH212" i="4" s="1"/>
  <c r="N37" i="3"/>
  <c r="N48" i="3" s="1"/>
  <c r="AT82" i="3"/>
  <c r="C82" i="3"/>
  <c r="D82" i="3" s="1"/>
  <c r="G85" i="3" s="1"/>
  <c r="M156" i="3"/>
  <c r="L122" i="3" s="1"/>
  <c r="R37" i="3"/>
  <c r="F156" i="4"/>
  <c r="F193" i="4"/>
  <c r="H231" i="4"/>
  <c r="H233" i="4" s="1"/>
  <c r="H131" i="4"/>
  <c r="U144" i="4"/>
  <c r="W145" i="4"/>
  <c r="H143" i="4"/>
  <c r="Z122" i="4"/>
  <c r="Z135" i="4" s="1"/>
  <c r="AG135" i="4" s="1"/>
  <c r="M101" i="4" s="1"/>
  <c r="L122" i="4"/>
  <c r="Z161" i="4"/>
  <c r="X157" i="4"/>
  <c r="N159" i="4"/>
  <c r="L157" i="4"/>
  <c r="O48" i="4"/>
  <c r="W122" i="4"/>
  <c r="W133" i="4" s="1"/>
  <c r="F193" i="3"/>
  <c r="H231" i="3"/>
  <c r="H233" i="3" s="1"/>
  <c r="U158" i="3"/>
  <c r="W159" i="3"/>
  <c r="W145" i="3"/>
  <c r="U144" i="3"/>
  <c r="J144" i="3"/>
  <c r="H143" i="3"/>
  <c r="E94" i="4"/>
  <c r="R180" i="4" s="1"/>
  <c r="K213" i="4" s="1"/>
  <c r="B213" i="3"/>
  <c r="AT80" i="3"/>
  <c r="C80" i="3"/>
  <c r="B85" i="3" s="1"/>
  <c r="AU5" i="4"/>
  <c r="Y211" i="3"/>
  <c r="L37" i="4"/>
  <c r="X131" i="3"/>
  <c r="Y122" i="3"/>
  <c r="N122" i="3"/>
  <c r="N133" i="3" s="1"/>
  <c r="E13" i="4"/>
  <c r="AB179" i="4" s="1"/>
  <c r="AH210" i="4" s="1"/>
  <c r="E15" i="4"/>
  <c r="R179" i="4" s="1"/>
  <c r="K212" i="4" s="1"/>
  <c r="Z86" i="3"/>
  <c r="Z87" i="3" s="1"/>
  <c r="Q37" i="3"/>
  <c r="Q49" i="3" s="1"/>
  <c r="AF86" i="3"/>
  <c r="AF87" i="3" s="1"/>
  <c r="AA37" i="3"/>
  <c r="AB37" i="3" s="1"/>
  <c r="AF231" i="4"/>
  <c r="AF233" i="4" s="1"/>
  <c r="AC203" i="4"/>
  <c r="K223" i="4"/>
  <c r="J198" i="4" s="1"/>
  <c r="AA133" i="4"/>
  <c r="H157" i="4"/>
  <c r="J158" i="4"/>
  <c r="T122" i="4"/>
  <c r="T132" i="4" s="1"/>
  <c r="AD122" i="4"/>
  <c r="E122" i="4"/>
  <c r="X129" i="4"/>
  <c r="L129" i="4"/>
  <c r="Q122" i="4"/>
  <c r="Q133" i="4" s="1"/>
  <c r="J122" i="4"/>
  <c r="J132" i="4" s="1"/>
  <c r="T37" i="4"/>
  <c r="T47" i="4" s="1"/>
  <c r="AC122" i="4"/>
  <c r="AC134" i="4" s="1"/>
  <c r="AG134" i="4" s="1"/>
  <c r="M99" i="4" s="1"/>
  <c r="E37" i="4"/>
  <c r="AF230" i="3"/>
  <c r="AU233" i="3" s="1"/>
  <c r="Y37" i="4"/>
  <c r="Q37" i="4"/>
  <c r="Q49" i="4" s="1"/>
  <c r="AG49" i="4" s="1"/>
  <c r="M14" i="4" s="1"/>
  <c r="Q122" i="3"/>
  <c r="Q133" i="3" s="1"/>
  <c r="AB122" i="3"/>
  <c r="AA133" i="3"/>
  <c r="J158" i="3"/>
  <c r="H157" i="3"/>
  <c r="E96" i="4"/>
  <c r="AB180" i="4" s="1"/>
  <c r="AH211" i="4" s="1"/>
  <c r="C71" i="3"/>
  <c r="B37" i="3" s="1"/>
  <c r="B47" i="3" s="1"/>
  <c r="AG65" i="3"/>
  <c r="L44" i="3"/>
  <c r="T37" i="3"/>
  <c r="T47" i="3" s="1"/>
  <c r="Y212" i="3"/>
  <c r="AU8" i="4"/>
  <c r="U122" i="3"/>
  <c r="H37" i="4"/>
  <c r="AD122" i="3"/>
  <c r="X157" i="3"/>
  <c r="Z161" i="3"/>
  <c r="L143" i="3"/>
  <c r="N145" i="3"/>
  <c r="B44" i="3"/>
  <c r="AT81" i="3"/>
  <c r="C81" i="3"/>
  <c r="D85" i="3" s="1"/>
  <c r="J37" i="3"/>
  <c r="J49" i="3" s="1"/>
  <c r="AC86" i="3"/>
  <c r="AC87" i="3" s="1"/>
  <c r="H37" i="3"/>
  <c r="AJ110" i="1"/>
  <c r="AH111" i="1"/>
  <c r="AM25" i="1"/>
  <c r="AK24" i="1"/>
  <c r="AJ27" i="1"/>
  <c r="E11" i="1"/>
  <c r="AI111" i="2"/>
  <c r="AL27" i="2"/>
  <c r="AJ25" i="2"/>
  <c r="AI27" i="2"/>
  <c r="AH25" i="2"/>
  <c r="D121" i="1"/>
  <c r="D222" i="1"/>
  <c r="Q39" i="1"/>
  <c r="AG62" i="2"/>
  <c r="AA16" i="2" s="1"/>
  <c r="Y71" i="2"/>
  <c r="AH109" i="1"/>
  <c r="AI110" i="1"/>
  <c r="AM24" i="2"/>
  <c r="AJ27" i="2"/>
  <c r="V71" i="2"/>
  <c r="AM109" i="2"/>
  <c r="AC222" i="1"/>
  <c r="AF218" i="1" s="1"/>
  <c r="J67" i="1"/>
  <c r="AG68" i="1"/>
  <c r="AG50" i="2"/>
  <c r="M16" i="2" s="1"/>
  <c r="AG56" i="2"/>
  <c r="AE71" i="2"/>
  <c r="W39" i="1"/>
  <c r="AL110" i="1"/>
  <c r="AK26" i="1"/>
  <c r="AC39" i="1"/>
  <c r="AM110" i="1"/>
  <c r="AI24" i="2"/>
  <c r="D222" i="2"/>
  <c r="AC222" i="2"/>
  <c r="V71" i="1"/>
  <c r="X44" i="2"/>
  <c r="E36" i="2"/>
  <c r="R36" i="2"/>
  <c r="AD36" i="2"/>
  <c r="AF37" i="2" s="1"/>
  <c r="B210" i="2"/>
  <c r="B227" i="2" s="1"/>
  <c r="AU3" i="1"/>
  <c r="E8" i="1" s="1"/>
  <c r="B79" i="1" s="1"/>
  <c r="AT79" i="1" s="1"/>
  <c r="B211" i="2"/>
  <c r="A199" i="2" s="1"/>
  <c r="AU6" i="1"/>
  <c r="E10" i="1" s="1"/>
  <c r="B80" i="1" s="1"/>
  <c r="AT80" i="1" s="1"/>
  <c r="K211" i="2"/>
  <c r="K210" i="2"/>
  <c r="AV3" i="1"/>
  <c r="Y212" i="2"/>
  <c r="Y71" i="1"/>
  <c r="B212" i="2"/>
  <c r="A204" i="2" s="1"/>
  <c r="AU9" i="1"/>
  <c r="E14" i="1" s="1"/>
  <c r="B82" i="1" s="1"/>
  <c r="B213" i="2"/>
  <c r="B230" i="2" s="1"/>
  <c r="AU7" i="1"/>
  <c r="E12" i="1" s="1"/>
  <c r="B81" i="1" s="1"/>
  <c r="B222" i="2"/>
  <c r="H218" i="2" s="1"/>
  <c r="K223" i="2" s="1"/>
  <c r="J198" i="2" s="1"/>
  <c r="AA222" i="2"/>
  <c r="J150" i="1"/>
  <c r="N151" i="1"/>
  <c r="K212" i="2"/>
  <c r="AV9" i="1"/>
  <c r="K213" i="2"/>
  <c r="AV7" i="1"/>
  <c r="J39" i="1"/>
  <c r="AB71" i="1"/>
  <c r="AI111" i="1"/>
  <c r="AJ109" i="1"/>
  <c r="O122" i="1"/>
  <c r="AA122" i="1"/>
  <c r="AK24" i="2"/>
  <c r="AH111" i="2"/>
  <c r="AI110" i="2"/>
  <c r="Y210" i="2"/>
  <c r="X227" i="2" s="1"/>
  <c r="AU4" i="1"/>
  <c r="E93" i="1" s="1"/>
  <c r="B164" i="1" s="1"/>
  <c r="Y211" i="2"/>
  <c r="X228" i="2" s="1"/>
  <c r="AU5" i="1"/>
  <c r="E95" i="1" s="1"/>
  <c r="B165" i="1" s="1"/>
  <c r="AT165" i="1" s="1"/>
  <c r="AI24" i="1"/>
  <c r="AM24" i="1"/>
  <c r="AG68" i="2"/>
  <c r="AH210" i="2"/>
  <c r="AV4" i="1"/>
  <c r="AH211" i="2"/>
  <c r="AV5" i="1"/>
  <c r="AE71" i="1"/>
  <c r="B36" i="2"/>
  <c r="O36" i="2"/>
  <c r="AA36" i="2"/>
  <c r="AB71" i="2"/>
  <c r="D151" i="1"/>
  <c r="AH212" i="2"/>
  <c r="AV8" i="1"/>
  <c r="J150" i="2"/>
  <c r="N151" i="2"/>
  <c r="T150" i="2"/>
  <c r="D151" i="2"/>
  <c r="AR26" i="2"/>
  <c r="X12" i="2" s="1"/>
  <c r="B65" i="2"/>
  <c r="O66" i="2"/>
  <c r="P71" i="2" s="1"/>
  <c r="AR28" i="2"/>
  <c r="X16" i="2" s="1"/>
  <c r="U44" i="2"/>
  <c r="AR113" i="2"/>
  <c r="X101" i="2" s="1"/>
  <c r="AR112" i="2"/>
  <c r="X99" i="2" s="1"/>
  <c r="X229" i="1"/>
  <c r="AT232" i="1" s="1"/>
  <c r="V204" i="1"/>
  <c r="AR113" i="1"/>
  <c r="X101" i="1" s="1"/>
  <c r="AM109" i="1"/>
  <c r="G151" i="1"/>
  <c r="T151" i="1"/>
  <c r="AF150" i="1"/>
  <c r="AR112" i="1"/>
  <c r="X99" i="1" s="1"/>
  <c r="AH26" i="1"/>
  <c r="B44" i="1"/>
  <c r="D60" i="1" s="1"/>
  <c r="AA44" i="1"/>
  <c r="AR28" i="1"/>
  <c r="X16" i="1" s="1"/>
  <c r="AL26" i="1"/>
  <c r="AG50" i="1"/>
  <c r="M16" i="1" s="1"/>
  <c r="AG56" i="1"/>
  <c r="AG62" i="1"/>
  <c r="AA16" i="1" s="1"/>
  <c r="AR25" i="1"/>
  <c r="X10" i="1" s="1"/>
  <c r="AI27" i="1"/>
  <c r="AR27" i="1" s="1"/>
  <c r="X14" i="1" s="1"/>
  <c r="W37" i="1"/>
  <c r="AT80" i="2"/>
  <c r="C80" i="2"/>
  <c r="B85" i="2" s="1"/>
  <c r="AT83" i="2"/>
  <c r="C83" i="2"/>
  <c r="D83" i="2" s="1"/>
  <c r="G83" i="2" s="1"/>
  <c r="J83" i="2" s="1"/>
  <c r="N83" i="2" s="1"/>
  <c r="Q83" i="2" s="1"/>
  <c r="T83" i="2" s="1"/>
  <c r="W83" i="2" s="1"/>
  <c r="Z83" i="2" s="1"/>
  <c r="AC83" i="2" s="1"/>
  <c r="AF83" i="2" s="1"/>
  <c r="AU83" i="2" s="1"/>
  <c r="T37" i="2"/>
  <c r="T47" i="2" s="1"/>
  <c r="AT81" i="2"/>
  <c r="C81" i="2"/>
  <c r="D85" i="2" s="1"/>
  <c r="AR27" i="2"/>
  <c r="X14" i="2" s="1"/>
  <c r="I71" i="2"/>
  <c r="AR25" i="2"/>
  <c r="X10" i="2" s="1"/>
  <c r="C79" i="2"/>
  <c r="D79" i="2" s="1"/>
  <c r="E85" i="2" s="1"/>
  <c r="AT79" i="2"/>
  <c r="AD37" i="2"/>
  <c r="AD86" i="2"/>
  <c r="AD87" i="2" s="1"/>
  <c r="C82" i="2"/>
  <c r="D82" i="2" s="1"/>
  <c r="G85" i="2" s="1"/>
  <c r="AT82" i="2"/>
  <c r="AF86" i="2"/>
  <c r="AF87" i="2" s="1"/>
  <c r="H36" i="2"/>
  <c r="U36" i="2"/>
  <c r="E39" i="2"/>
  <c r="R39" i="2"/>
  <c r="A190" i="2"/>
  <c r="Z232" i="2"/>
  <c r="Z233" i="2" s="1"/>
  <c r="X232" i="2"/>
  <c r="AD218" i="2"/>
  <c r="J36" i="2"/>
  <c r="W36" i="2"/>
  <c r="G39" i="2"/>
  <c r="T39" i="2"/>
  <c r="AF39" i="2"/>
  <c r="D66" i="2"/>
  <c r="G67" i="2"/>
  <c r="F71" i="2" s="1"/>
  <c r="AT164" i="2"/>
  <c r="C164" i="2"/>
  <c r="B170" i="2" s="1"/>
  <c r="C165" i="2"/>
  <c r="AT165" i="2"/>
  <c r="AT166" i="2"/>
  <c r="C166" i="2"/>
  <c r="AT167" i="2"/>
  <c r="C167" i="2"/>
  <c r="D167" i="2" s="1"/>
  <c r="G167" i="2" s="1"/>
  <c r="J167" i="2" s="1"/>
  <c r="N167" i="2" s="1"/>
  <c r="Q167" i="2" s="1"/>
  <c r="T167" i="2" s="1"/>
  <c r="W167" i="2" s="1"/>
  <c r="Z167" i="2" s="1"/>
  <c r="AC170" i="2" s="1"/>
  <c r="AT168" i="2"/>
  <c r="C168" i="2"/>
  <c r="D168" i="2" s="1"/>
  <c r="G168" i="2" s="1"/>
  <c r="J168" i="2" s="1"/>
  <c r="N168" i="2" s="1"/>
  <c r="Q168" i="2" s="1"/>
  <c r="T168" i="2" s="1"/>
  <c r="W168" i="2" s="1"/>
  <c r="Z170" i="2" s="1"/>
  <c r="AL110" i="2"/>
  <c r="AL111" i="2"/>
  <c r="AR111" i="2" s="1"/>
  <c r="X97" i="2" s="1"/>
  <c r="J151" i="2"/>
  <c r="J124" i="2"/>
  <c r="H129" i="2" s="1"/>
  <c r="J144" i="2" s="1"/>
  <c r="J121" i="2"/>
  <c r="W151" i="2"/>
  <c r="W124" i="2"/>
  <c r="U129" i="2" s="1"/>
  <c r="W121" i="2"/>
  <c r="F156" i="2"/>
  <c r="L36" i="2"/>
  <c r="X36" i="2"/>
  <c r="H39" i="2"/>
  <c r="B40" i="2"/>
  <c r="B44" i="2" s="1"/>
  <c r="O40" i="2"/>
  <c r="AA40" i="2"/>
  <c r="AA44" i="2" s="1"/>
  <c r="L64" i="2"/>
  <c r="M71" i="2" s="1"/>
  <c r="L129" i="2"/>
  <c r="N145" i="2" s="1"/>
  <c r="X129" i="2"/>
  <c r="AC232" i="2"/>
  <c r="AA232" i="2"/>
  <c r="AF218" i="2"/>
  <c r="N36" i="2"/>
  <c r="Z36" i="2"/>
  <c r="Z37" i="2" s="1"/>
  <c r="J39" i="2"/>
  <c r="AH109" i="2"/>
  <c r="E40" i="2"/>
  <c r="R40" i="2"/>
  <c r="AD40" i="2"/>
  <c r="AG76" i="2"/>
  <c r="U86" i="2"/>
  <c r="U202" i="2"/>
  <c r="V190" i="2"/>
  <c r="G232" i="2"/>
  <c r="J218" i="2"/>
  <c r="E232" i="2"/>
  <c r="AF232" i="2"/>
  <c r="AD232" i="2"/>
  <c r="D36" i="2"/>
  <c r="Q36" i="2"/>
  <c r="Q37" i="2" s="1"/>
  <c r="Q49" i="2" s="1"/>
  <c r="AC36" i="2"/>
  <c r="AC37" i="2" s="1"/>
  <c r="N39" i="2"/>
  <c r="L44" i="2" s="1"/>
  <c r="T65" i="2"/>
  <c r="AG65" i="2" s="1"/>
  <c r="D121" i="2"/>
  <c r="Q121" i="2"/>
  <c r="AC121" i="2"/>
  <c r="AC122" i="2" s="1"/>
  <c r="AC134" i="2" s="1"/>
  <c r="AG134" i="2" s="1"/>
  <c r="M99" i="2" s="1"/>
  <c r="J232" i="2"/>
  <c r="H232" i="2"/>
  <c r="Q39" i="2"/>
  <c r="E121" i="2"/>
  <c r="R121" i="2"/>
  <c r="R122" i="2" s="1"/>
  <c r="AD121" i="2"/>
  <c r="B124" i="2"/>
  <c r="O124" i="2"/>
  <c r="AA124" i="2"/>
  <c r="AA129" i="2" s="1"/>
  <c r="R149" i="2"/>
  <c r="AD149" i="2"/>
  <c r="AE156" i="2" s="1"/>
  <c r="U150" i="2"/>
  <c r="V156" i="2" s="1"/>
  <c r="Y230" i="2"/>
  <c r="Z230" i="2" s="1"/>
  <c r="AC230" i="2" s="1"/>
  <c r="G121" i="2"/>
  <c r="T121" i="2"/>
  <c r="AF121" i="2"/>
  <c r="AF122" i="2" s="1"/>
  <c r="AF132" i="2" s="1"/>
  <c r="D124" i="2"/>
  <c r="Q124" i="2"/>
  <c r="AC124" i="2"/>
  <c r="AC152" i="2"/>
  <c r="AG152" i="2" s="1"/>
  <c r="H121" i="2"/>
  <c r="H122" i="2" s="1"/>
  <c r="U121" i="2"/>
  <c r="E124" i="2"/>
  <c r="H149" i="2"/>
  <c r="I156" i="2" s="1"/>
  <c r="J158" i="2" s="1"/>
  <c r="AA151" i="2"/>
  <c r="G124" i="2"/>
  <c r="T124" i="2"/>
  <c r="R129" i="2" s="1"/>
  <c r="T144" i="2" s="1"/>
  <c r="AF124" i="2"/>
  <c r="AD129" i="2" s="1"/>
  <c r="N150" i="2"/>
  <c r="Q151" i="2"/>
  <c r="L121" i="2"/>
  <c r="X121" i="2"/>
  <c r="L149" i="2"/>
  <c r="X149" i="2"/>
  <c r="O150" i="2"/>
  <c r="N121" i="2"/>
  <c r="Z121" i="2"/>
  <c r="D150" i="2"/>
  <c r="Z153" i="2"/>
  <c r="AG153" i="2" s="1"/>
  <c r="B121" i="2"/>
  <c r="AT83" i="1"/>
  <c r="U37" i="1"/>
  <c r="V37" i="1" s="1"/>
  <c r="P71" i="1"/>
  <c r="AT81" i="1"/>
  <c r="X44" i="1"/>
  <c r="U86" i="1"/>
  <c r="U87" i="1" s="1"/>
  <c r="AT82" i="1"/>
  <c r="J36" i="1"/>
  <c r="J37" i="1" s="1"/>
  <c r="J49" i="1" s="1"/>
  <c r="G39" i="1"/>
  <c r="E44" i="1" s="1"/>
  <c r="T39" i="1"/>
  <c r="R44" i="1" s="1"/>
  <c r="AF39" i="1"/>
  <c r="AD44" i="1" s="1"/>
  <c r="D66" i="1"/>
  <c r="AG66" i="1" s="1"/>
  <c r="G67" i="1"/>
  <c r="AT166" i="1"/>
  <c r="B227" i="1"/>
  <c r="A190" i="1"/>
  <c r="B228" i="1"/>
  <c r="A199" i="1"/>
  <c r="Z232" i="1"/>
  <c r="Z233" i="1" s="1"/>
  <c r="X232" i="1"/>
  <c r="AD218" i="1"/>
  <c r="L36" i="1"/>
  <c r="X36" i="1"/>
  <c r="H39" i="1"/>
  <c r="H44" i="1" s="1"/>
  <c r="U39" i="1"/>
  <c r="U44" i="1" s="1"/>
  <c r="L64" i="1"/>
  <c r="M71" i="1" s="1"/>
  <c r="B65" i="1"/>
  <c r="L129" i="1"/>
  <c r="N145" i="1" s="1"/>
  <c r="X129" i="1"/>
  <c r="F156" i="1"/>
  <c r="N36" i="1"/>
  <c r="N37" i="1" s="1"/>
  <c r="N48" i="1" s="1"/>
  <c r="Z36" i="1"/>
  <c r="AT164" i="1"/>
  <c r="B229" i="1"/>
  <c r="A204" i="1"/>
  <c r="A193" i="1"/>
  <c r="A195" i="1"/>
  <c r="B230" i="1"/>
  <c r="H218" i="1"/>
  <c r="D232" i="1"/>
  <c r="B232" i="1"/>
  <c r="AC232" i="1"/>
  <c r="AA232" i="1"/>
  <c r="B36" i="1"/>
  <c r="O36" i="1"/>
  <c r="AA36" i="1"/>
  <c r="AG76" i="1"/>
  <c r="O132" i="1"/>
  <c r="AA133" i="1"/>
  <c r="Q36" i="1"/>
  <c r="N39" i="1"/>
  <c r="L44" i="1" s="1"/>
  <c r="T65" i="1"/>
  <c r="AC122" i="1"/>
  <c r="AC134" i="1" s="1"/>
  <c r="AG134" i="1" s="1"/>
  <c r="M99" i="1" s="1"/>
  <c r="X227" i="1"/>
  <c r="U202" i="1"/>
  <c r="V190" i="1"/>
  <c r="X228" i="1"/>
  <c r="V199" i="1"/>
  <c r="G232" i="1"/>
  <c r="J218" i="1"/>
  <c r="E232" i="1"/>
  <c r="AF232" i="1"/>
  <c r="AD232" i="1"/>
  <c r="E36" i="1"/>
  <c r="E37" i="1" s="1"/>
  <c r="R36" i="1"/>
  <c r="R37" i="1" s="1"/>
  <c r="AD36" i="1"/>
  <c r="AF86" i="1" s="1"/>
  <c r="AF87" i="1" s="1"/>
  <c r="O39" i="1"/>
  <c r="O44" i="1" s="1"/>
  <c r="E64" i="1"/>
  <c r="R64" i="1"/>
  <c r="H65" i="1"/>
  <c r="I71" i="1" s="1"/>
  <c r="AT168" i="1"/>
  <c r="J232" i="1"/>
  <c r="H232" i="1"/>
  <c r="W86" i="1"/>
  <c r="W87" i="1" s="1"/>
  <c r="AT167" i="1"/>
  <c r="E121" i="1"/>
  <c r="R121" i="1"/>
  <c r="AD121" i="1"/>
  <c r="B124" i="1"/>
  <c r="O124" i="1"/>
  <c r="AA124" i="1"/>
  <c r="R149" i="1"/>
  <c r="AD149" i="1"/>
  <c r="U150" i="1"/>
  <c r="V156" i="1" s="1"/>
  <c r="G121" i="1"/>
  <c r="T121" i="1"/>
  <c r="AF121" i="1"/>
  <c r="D124" i="1"/>
  <c r="Q124" i="1"/>
  <c r="AC124" i="1"/>
  <c r="AC152" i="1"/>
  <c r="AG152" i="1" s="1"/>
  <c r="H121" i="1"/>
  <c r="U121" i="1"/>
  <c r="E124" i="1"/>
  <c r="H149" i="1"/>
  <c r="I156" i="1" s="1"/>
  <c r="J158" i="1" s="1"/>
  <c r="AA151" i="1"/>
  <c r="AB156" i="1" s="1"/>
  <c r="J121" i="1"/>
  <c r="W121" i="1"/>
  <c r="G124" i="1"/>
  <c r="T124" i="1"/>
  <c r="R129" i="1" s="1"/>
  <c r="T144" i="1" s="1"/>
  <c r="AF124" i="1"/>
  <c r="AD129" i="1" s="1"/>
  <c r="N150" i="1"/>
  <c r="Q151" i="1"/>
  <c r="L121" i="1"/>
  <c r="X121" i="1"/>
  <c r="L149" i="1"/>
  <c r="X149" i="1"/>
  <c r="Y156" i="1" s="1"/>
  <c r="O150" i="1"/>
  <c r="N121" i="1"/>
  <c r="Z121" i="1"/>
  <c r="J124" i="1"/>
  <c r="H129" i="1" s="1"/>
  <c r="J144" i="1" s="1"/>
  <c r="W124" i="1"/>
  <c r="U129" i="1" s="1"/>
  <c r="D150" i="1"/>
  <c r="Z153" i="1"/>
  <c r="AG153" i="1" s="1"/>
  <c r="B121" i="1"/>
  <c r="B122" i="1" s="1"/>
  <c r="D185" i="5" l="1"/>
  <c r="C186" i="5"/>
  <c r="C337" i="5"/>
  <c r="D336" i="5"/>
  <c r="D337" i="5" s="1"/>
  <c r="AH64" i="4"/>
  <c r="AG60" i="4"/>
  <c r="AA12" i="4" s="1"/>
  <c r="AG58" i="4"/>
  <c r="AA8" i="4" s="1"/>
  <c r="D37" i="4"/>
  <c r="D48" i="4" s="1"/>
  <c r="AG48" i="4" s="1"/>
  <c r="M12" i="4" s="1"/>
  <c r="D145" i="4"/>
  <c r="AB122" i="4"/>
  <c r="AG61" i="4"/>
  <c r="AA14" i="4" s="1"/>
  <c r="O122" i="3"/>
  <c r="O132" i="3" s="1"/>
  <c r="AG133" i="3"/>
  <c r="M97" i="3" s="1"/>
  <c r="AG49" i="3"/>
  <c r="M14" i="3" s="1"/>
  <c r="AG61" i="3"/>
  <c r="AA14" i="3" s="1"/>
  <c r="D86" i="3"/>
  <c r="D87" i="3" s="1"/>
  <c r="I37" i="4"/>
  <c r="H47" i="4"/>
  <c r="E12" i="4"/>
  <c r="H137" i="3"/>
  <c r="J138" i="3"/>
  <c r="B229" i="3"/>
  <c r="A204" i="3"/>
  <c r="A193" i="3"/>
  <c r="F122" i="3"/>
  <c r="E132" i="3"/>
  <c r="U132" i="3"/>
  <c r="V122" i="3"/>
  <c r="A195" i="3"/>
  <c r="B230" i="3"/>
  <c r="L157" i="3"/>
  <c r="N159" i="3"/>
  <c r="H47" i="3"/>
  <c r="AG47" i="3" s="1"/>
  <c r="M10" i="3" s="1"/>
  <c r="I37" i="3"/>
  <c r="AE122" i="4"/>
  <c r="AD131" i="4"/>
  <c r="E46" i="3"/>
  <c r="F37" i="3"/>
  <c r="L131" i="3"/>
  <c r="M122" i="3"/>
  <c r="C122" i="3"/>
  <c r="B131" i="3"/>
  <c r="L131" i="4"/>
  <c r="M122" i="4"/>
  <c r="S37" i="3"/>
  <c r="R46" i="3"/>
  <c r="AG160" i="4"/>
  <c r="AG161" i="3"/>
  <c r="Z168" i="3"/>
  <c r="AC168" i="3" s="1"/>
  <c r="AF168" i="3" s="1"/>
  <c r="AU168" i="3" s="1"/>
  <c r="L58" i="3"/>
  <c r="AG58" i="3" s="1"/>
  <c r="AA8" i="3" s="1"/>
  <c r="N60" i="3"/>
  <c r="E95" i="4"/>
  <c r="E14" i="4"/>
  <c r="B171" i="3"/>
  <c r="B172" i="3" s="1"/>
  <c r="B157" i="3"/>
  <c r="D159" i="3"/>
  <c r="AG59" i="4"/>
  <c r="AA10" i="4" s="1"/>
  <c r="B157" i="4"/>
  <c r="D159" i="4"/>
  <c r="D122" i="4"/>
  <c r="Y230" i="4"/>
  <c r="Z230" i="4" s="1"/>
  <c r="AC230" i="4" s="1"/>
  <c r="AF230" i="4" s="1"/>
  <c r="AU233" i="4" s="1"/>
  <c r="E8" i="4"/>
  <c r="E86" i="3"/>
  <c r="E87" i="3" s="1"/>
  <c r="P122" i="3"/>
  <c r="AG160" i="3"/>
  <c r="AC167" i="3"/>
  <c r="AF167" i="3" s="1"/>
  <c r="AU167" i="3" s="1"/>
  <c r="D60" i="3"/>
  <c r="B59" i="3"/>
  <c r="AG59" i="3" s="1"/>
  <c r="AA10" i="3" s="1"/>
  <c r="E97" i="4"/>
  <c r="Z147" i="4"/>
  <c r="AG147" i="4" s="1"/>
  <c r="AA101" i="4" s="1"/>
  <c r="X143" i="4"/>
  <c r="B86" i="3"/>
  <c r="B87" i="3" s="1"/>
  <c r="I122" i="4"/>
  <c r="G159" i="4"/>
  <c r="E158" i="4"/>
  <c r="G86" i="3"/>
  <c r="G87" i="3" s="1"/>
  <c r="AG145" i="3"/>
  <c r="AA97" i="3" s="1"/>
  <c r="E72" i="3"/>
  <c r="G75" i="3"/>
  <c r="X227" i="3"/>
  <c r="V190" i="3"/>
  <c r="U202" i="3"/>
  <c r="B228" i="3"/>
  <c r="A199" i="3"/>
  <c r="AG74" i="4"/>
  <c r="R131" i="4"/>
  <c r="S122" i="4"/>
  <c r="P122" i="4"/>
  <c r="R143" i="3"/>
  <c r="AG143" i="3" s="1"/>
  <c r="AA93" i="3" s="1"/>
  <c r="T144" i="3"/>
  <c r="AG144" i="3" s="1"/>
  <c r="AA95" i="3" s="1"/>
  <c r="P37" i="3"/>
  <c r="Y122" i="4"/>
  <c r="V122" i="4"/>
  <c r="F37" i="4"/>
  <c r="E46" i="4"/>
  <c r="AA139" i="4"/>
  <c r="AC140" i="4"/>
  <c r="AG140" i="4" s="1"/>
  <c r="AH134" i="4" s="1"/>
  <c r="S99" i="4" s="1"/>
  <c r="V199" i="3"/>
  <c r="X228" i="3"/>
  <c r="L46" i="3"/>
  <c r="M37" i="3"/>
  <c r="A190" i="3"/>
  <c r="B227" i="3"/>
  <c r="AC140" i="3"/>
  <c r="AG140" i="3" s="1"/>
  <c r="AH134" i="3" s="1"/>
  <c r="S99" i="3" s="1"/>
  <c r="AA139" i="3"/>
  <c r="N145" i="4"/>
  <c r="L143" i="4"/>
  <c r="Z141" i="3"/>
  <c r="AG141" i="3" s="1"/>
  <c r="AH135" i="3" s="1"/>
  <c r="S101" i="3" s="1"/>
  <c r="X137" i="3"/>
  <c r="AD131" i="3"/>
  <c r="AE122" i="3"/>
  <c r="X229" i="3"/>
  <c r="V204" i="3"/>
  <c r="B73" i="3"/>
  <c r="D74" i="3"/>
  <c r="E132" i="4"/>
  <c r="AG132" i="4" s="1"/>
  <c r="M95" i="4" s="1"/>
  <c r="L46" i="4"/>
  <c r="M37" i="4"/>
  <c r="C37" i="4"/>
  <c r="B47" i="4"/>
  <c r="AG47" i="4" s="1"/>
  <c r="M10" i="4" s="1"/>
  <c r="P37" i="4"/>
  <c r="AG161" i="4"/>
  <c r="D37" i="3"/>
  <c r="R157" i="3"/>
  <c r="T158" i="3"/>
  <c r="AG158" i="3" s="1"/>
  <c r="T122" i="3"/>
  <c r="D171" i="3"/>
  <c r="D172" i="3" s="1"/>
  <c r="E93" i="4"/>
  <c r="E10" i="4"/>
  <c r="AG73" i="4"/>
  <c r="S37" i="4"/>
  <c r="T144" i="4"/>
  <c r="AG144" i="4" s="1"/>
  <c r="AA95" i="4" s="1"/>
  <c r="R143" i="4"/>
  <c r="G122" i="4"/>
  <c r="G133" i="4" s="1"/>
  <c r="AG75" i="4"/>
  <c r="S156" i="1"/>
  <c r="T158" i="1" s="1"/>
  <c r="O129" i="1"/>
  <c r="AR110" i="1"/>
  <c r="X95" i="1" s="1"/>
  <c r="L122" i="1"/>
  <c r="AR109" i="1"/>
  <c r="X93" i="1" s="1"/>
  <c r="E122" i="1"/>
  <c r="AR111" i="1"/>
  <c r="X97" i="1" s="1"/>
  <c r="AR24" i="1"/>
  <c r="X8" i="1" s="1"/>
  <c r="AG67" i="1"/>
  <c r="P156" i="2"/>
  <c r="A195" i="2"/>
  <c r="B228" i="2"/>
  <c r="AT227" i="2" s="1"/>
  <c r="AR109" i="2"/>
  <c r="X93" i="2" s="1"/>
  <c r="O129" i="2"/>
  <c r="O144" i="2" s="1"/>
  <c r="Q122" i="2"/>
  <c r="Q133" i="2" s="1"/>
  <c r="E129" i="2"/>
  <c r="AR24" i="2"/>
  <c r="X8" i="2" s="1"/>
  <c r="AG66" i="2"/>
  <c r="E37" i="2"/>
  <c r="E46" i="2" s="1"/>
  <c r="AH50" i="2"/>
  <c r="S16" i="2" s="1"/>
  <c r="C168" i="1"/>
  <c r="D168" i="1" s="1"/>
  <c r="G168" i="1" s="1"/>
  <c r="J168" i="1" s="1"/>
  <c r="N168" i="1" s="1"/>
  <c r="Q168" i="1" s="1"/>
  <c r="T168" i="1" s="1"/>
  <c r="W168" i="1" s="1"/>
  <c r="Z170" i="1" s="1"/>
  <c r="V199" i="2"/>
  <c r="Y230" i="1"/>
  <c r="Z230" i="1" s="1"/>
  <c r="AC230" i="1" s="1"/>
  <c r="AF230" i="1" s="1"/>
  <c r="AU233" i="1" s="1"/>
  <c r="AR26" i="1"/>
  <c r="X12" i="1" s="1"/>
  <c r="AE156" i="1"/>
  <c r="C71" i="1"/>
  <c r="B37" i="1" s="1"/>
  <c r="B47" i="1" s="1"/>
  <c r="C83" i="1"/>
  <c r="D83" i="1" s="1"/>
  <c r="G83" i="1" s="1"/>
  <c r="J83" i="1" s="1"/>
  <c r="N83" i="1" s="1"/>
  <c r="Q83" i="1" s="1"/>
  <c r="T83" i="1" s="1"/>
  <c r="W83" i="1" s="1"/>
  <c r="Z83" i="1" s="1"/>
  <c r="AC83" i="1" s="1"/>
  <c r="AF83" i="1" s="1"/>
  <c r="AU83" i="1" s="1"/>
  <c r="AR110" i="2"/>
  <c r="X95" i="2" s="1"/>
  <c r="W86" i="2"/>
  <c r="W87" i="2" s="1"/>
  <c r="G37" i="2"/>
  <c r="G49" i="2" s="1"/>
  <c r="T122" i="1"/>
  <c r="T132" i="1" s="1"/>
  <c r="C167" i="1"/>
  <c r="D167" i="1" s="1"/>
  <c r="G167" i="1" s="1"/>
  <c r="J167" i="1" s="1"/>
  <c r="N167" i="1" s="1"/>
  <c r="Q167" i="1" s="1"/>
  <c r="T167" i="1" s="1"/>
  <c r="W167" i="1" s="1"/>
  <c r="Z167" i="1" s="1"/>
  <c r="AC170" i="1" s="1"/>
  <c r="Z37" i="1"/>
  <c r="B232" i="2"/>
  <c r="A193" i="2"/>
  <c r="AG223" i="1"/>
  <c r="AG198" i="1" s="1"/>
  <c r="Z122" i="2"/>
  <c r="Z135" i="2" s="1"/>
  <c r="AG135" i="2" s="1"/>
  <c r="M101" i="2" s="1"/>
  <c r="D232" i="2"/>
  <c r="B229" i="2"/>
  <c r="AT228" i="2" s="1"/>
  <c r="S156" i="2"/>
  <c r="T158" i="2" s="1"/>
  <c r="AD44" i="2"/>
  <c r="E15" i="1"/>
  <c r="P156" i="1"/>
  <c r="AE37" i="2"/>
  <c r="E98" i="1"/>
  <c r="E96" i="1"/>
  <c r="X229" i="2"/>
  <c r="V204" i="2"/>
  <c r="J122" i="1"/>
  <c r="J132" i="1" s="1"/>
  <c r="C156" i="2"/>
  <c r="D159" i="2" s="1"/>
  <c r="AG151" i="2"/>
  <c r="H37" i="2"/>
  <c r="H47" i="2" s="1"/>
  <c r="E94" i="1"/>
  <c r="E9" i="1"/>
  <c r="N37" i="2"/>
  <c r="N48" i="2" s="1"/>
  <c r="E13" i="1"/>
  <c r="B129" i="1"/>
  <c r="D145" i="1" s="1"/>
  <c r="K223" i="1"/>
  <c r="J198" i="1" s="1"/>
  <c r="M156" i="2"/>
  <c r="N159" i="2" s="1"/>
  <c r="AB156" i="2"/>
  <c r="AA159" i="2" s="1"/>
  <c r="U122" i="2"/>
  <c r="E122" i="2"/>
  <c r="D122" i="2"/>
  <c r="D133" i="2" s="1"/>
  <c r="O122" i="2"/>
  <c r="O132" i="2" s="1"/>
  <c r="O44" i="2"/>
  <c r="Q61" i="2" s="1"/>
  <c r="AG64" i="2"/>
  <c r="E44" i="2"/>
  <c r="E58" i="2" s="1"/>
  <c r="T133" i="1"/>
  <c r="D170" i="2"/>
  <c r="B171" i="2" s="1"/>
  <c r="B172" i="2" s="1"/>
  <c r="J133" i="1"/>
  <c r="D132" i="2"/>
  <c r="AG151" i="1"/>
  <c r="AF122" i="1"/>
  <c r="AF132" i="1" s="1"/>
  <c r="U122" i="1"/>
  <c r="AG150" i="1"/>
  <c r="X122" i="1"/>
  <c r="Q37" i="1"/>
  <c r="Q49" i="1" s="1"/>
  <c r="B59" i="1"/>
  <c r="Z86" i="1"/>
  <c r="Z87" i="1" s="1"/>
  <c r="H37" i="1"/>
  <c r="I37" i="1" s="1"/>
  <c r="F71" i="1"/>
  <c r="E72" i="1" s="1"/>
  <c r="AH50" i="1"/>
  <c r="S16" i="1" s="1"/>
  <c r="D158" i="2"/>
  <c r="D60" i="2"/>
  <c r="B59" i="2"/>
  <c r="G75" i="2"/>
  <c r="E72" i="2"/>
  <c r="O158" i="2"/>
  <c r="Q159" i="2"/>
  <c r="R143" i="2"/>
  <c r="T145" i="2"/>
  <c r="U158" i="2"/>
  <c r="W159" i="2"/>
  <c r="G86" i="2"/>
  <c r="G87" i="2" s="1"/>
  <c r="E144" i="2"/>
  <c r="G145" i="2"/>
  <c r="N122" i="2"/>
  <c r="G122" i="2"/>
  <c r="G133" i="2" s="1"/>
  <c r="AD122" i="2"/>
  <c r="AG150" i="2"/>
  <c r="F203" i="2"/>
  <c r="J231" i="2"/>
  <c r="J233" i="2" s="1"/>
  <c r="AA122" i="2"/>
  <c r="J37" i="2"/>
  <c r="J49" i="2" s="1"/>
  <c r="AG49" i="2" s="1"/>
  <c r="M14" i="2" s="1"/>
  <c r="B37" i="2"/>
  <c r="AA37" i="2"/>
  <c r="AB37" i="2" s="1"/>
  <c r="R131" i="2"/>
  <c r="AD143" i="2"/>
  <c r="AF144" i="2"/>
  <c r="AC193" i="2"/>
  <c r="AF230" i="2"/>
  <c r="AU233" i="2" s="1"/>
  <c r="O74" i="2"/>
  <c r="Q75" i="2"/>
  <c r="N60" i="2"/>
  <c r="L58" i="2"/>
  <c r="AC86" i="2"/>
  <c r="AC87" i="2" s="1"/>
  <c r="Y156" i="2"/>
  <c r="E132" i="2"/>
  <c r="AG149" i="2"/>
  <c r="X143" i="2"/>
  <c r="Z147" i="2"/>
  <c r="AG147" i="2" s="1"/>
  <c r="AA101" i="2" s="1"/>
  <c r="H44" i="2"/>
  <c r="J122" i="2"/>
  <c r="I122" i="2" s="1"/>
  <c r="J138" i="2" s="1"/>
  <c r="R44" i="2"/>
  <c r="AA86" i="2"/>
  <c r="AA87" i="2" s="1"/>
  <c r="AG67" i="2"/>
  <c r="S71" i="2"/>
  <c r="R37" i="2" s="1"/>
  <c r="B86" i="2"/>
  <c r="B87" i="2" s="1"/>
  <c r="AF158" i="2"/>
  <c r="AD157" i="2"/>
  <c r="AT231" i="2"/>
  <c r="L143" i="2"/>
  <c r="N144" i="2"/>
  <c r="X37" i="2"/>
  <c r="Y37" i="2" s="1"/>
  <c r="E86" i="2"/>
  <c r="E87" i="2" s="1"/>
  <c r="N158" i="2"/>
  <c r="B122" i="2"/>
  <c r="X122" i="2"/>
  <c r="J159" i="2"/>
  <c r="H157" i="2"/>
  <c r="T159" i="2"/>
  <c r="R157" i="2"/>
  <c r="AG223" i="2"/>
  <c r="AG198" i="2" s="1"/>
  <c r="F193" i="2"/>
  <c r="H231" i="2"/>
  <c r="H233" i="2" s="1"/>
  <c r="L37" i="2"/>
  <c r="E158" i="2"/>
  <c r="G159" i="2"/>
  <c r="U144" i="2"/>
  <c r="W145" i="2"/>
  <c r="U37" i="2"/>
  <c r="D86" i="2"/>
  <c r="D87" i="2" s="1"/>
  <c r="AA145" i="2"/>
  <c r="AC146" i="2"/>
  <c r="AG146" i="2" s="1"/>
  <c r="AA99" i="2" s="1"/>
  <c r="AD16" i="2"/>
  <c r="AH68" i="2"/>
  <c r="AT229" i="2"/>
  <c r="J145" i="2"/>
  <c r="H143" i="2"/>
  <c r="C71" i="2"/>
  <c r="D37" i="2" s="1"/>
  <c r="D48" i="2" s="1"/>
  <c r="U132" i="2"/>
  <c r="Q145" i="2"/>
  <c r="X86" i="2"/>
  <c r="X87" i="2" s="1"/>
  <c r="AT230" i="2"/>
  <c r="N74" i="2"/>
  <c r="L72" i="2"/>
  <c r="U87" i="2"/>
  <c r="Z86" i="2"/>
  <c r="Z87" i="2" s="1"/>
  <c r="H131" i="2"/>
  <c r="T122" i="2"/>
  <c r="B129" i="2"/>
  <c r="D145" i="2" s="1"/>
  <c r="AC203" i="2"/>
  <c r="AF231" i="2"/>
  <c r="AF233" i="2" s="1"/>
  <c r="W122" i="2"/>
  <c r="W133" i="2" s="1"/>
  <c r="W37" i="2"/>
  <c r="AT226" i="2"/>
  <c r="O37" i="2"/>
  <c r="H73" i="2"/>
  <c r="J75" i="2"/>
  <c r="N60" i="1"/>
  <c r="L58" i="1"/>
  <c r="O158" i="1"/>
  <c r="R58" i="1"/>
  <c r="T59" i="1"/>
  <c r="J75" i="1"/>
  <c r="H73" i="1"/>
  <c r="G61" i="1"/>
  <c r="E58" i="1"/>
  <c r="U144" i="1"/>
  <c r="W145" i="1"/>
  <c r="AC160" i="1"/>
  <c r="AA159" i="1"/>
  <c r="J145" i="1"/>
  <c r="H143" i="1"/>
  <c r="D74" i="1"/>
  <c r="AD143" i="1"/>
  <c r="AF144" i="1"/>
  <c r="X157" i="1"/>
  <c r="Z161" i="1"/>
  <c r="G122" i="1"/>
  <c r="G133" i="1" s="1"/>
  <c r="M156" i="1"/>
  <c r="N159" i="1" s="1"/>
  <c r="W122" i="1"/>
  <c r="W133" i="1" s="1"/>
  <c r="R122" i="1"/>
  <c r="R46" i="1"/>
  <c r="AB122" i="1"/>
  <c r="O37" i="1"/>
  <c r="AT229" i="1"/>
  <c r="E158" i="1"/>
  <c r="G159" i="1"/>
  <c r="X86" i="1"/>
  <c r="X87" i="1" s="1"/>
  <c r="L37" i="1"/>
  <c r="AC37" i="1"/>
  <c r="AG64" i="1"/>
  <c r="X131" i="1"/>
  <c r="E132" i="1"/>
  <c r="E46" i="1"/>
  <c r="AT231" i="1"/>
  <c r="AC193" i="1"/>
  <c r="D37" i="1"/>
  <c r="D48" i="1" s="1"/>
  <c r="AF158" i="1"/>
  <c r="AD157" i="1"/>
  <c r="U158" i="1"/>
  <c r="W159" i="1"/>
  <c r="R143" i="1"/>
  <c r="T145" i="1"/>
  <c r="AC203" i="1"/>
  <c r="AF231" i="1"/>
  <c r="AF233" i="1" s="1"/>
  <c r="L131" i="1"/>
  <c r="J159" i="1"/>
  <c r="H157" i="1"/>
  <c r="AG149" i="1"/>
  <c r="X143" i="1"/>
  <c r="Z147" i="1"/>
  <c r="AG147" i="1" s="1"/>
  <c r="AA101" i="1" s="1"/>
  <c r="AG65" i="1"/>
  <c r="H47" i="1"/>
  <c r="G37" i="1"/>
  <c r="G49" i="1" s="1"/>
  <c r="AG49" i="1" s="1"/>
  <c r="M14" i="1" s="1"/>
  <c r="T159" i="1"/>
  <c r="R157" i="1"/>
  <c r="Z122" i="1"/>
  <c r="Z135" i="1" s="1"/>
  <c r="AG135" i="1" s="1"/>
  <c r="M101" i="1" s="1"/>
  <c r="E129" i="1"/>
  <c r="AA129" i="1"/>
  <c r="S71" i="1"/>
  <c r="T37" i="1" s="1"/>
  <c r="T47" i="1" s="1"/>
  <c r="AT230" i="1"/>
  <c r="C156" i="1"/>
  <c r="D159" i="1" s="1"/>
  <c r="AT228" i="1"/>
  <c r="L143" i="1"/>
  <c r="N144" i="1"/>
  <c r="N74" i="1"/>
  <c r="L72" i="1"/>
  <c r="O74" i="1"/>
  <c r="Q75" i="1"/>
  <c r="U132" i="1"/>
  <c r="O144" i="1"/>
  <c r="Q145" i="1"/>
  <c r="AC86" i="1"/>
  <c r="AC87" i="1" s="1"/>
  <c r="AT227" i="1"/>
  <c r="H122" i="1"/>
  <c r="B143" i="1"/>
  <c r="D144" i="1"/>
  <c r="O60" i="1"/>
  <c r="Q61" i="1"/>
  <c r="F203" i="1"/>
  <c r="J231" i="1"/>
  <c r="J233" i="1" s="1"/>
  <c r="AD16" i="1"/>
  <c r="AH68" i="1"/>
  <c r="J61" i="1"/>
  <c r="H59" i="1"/>
  <c r="B131" i="1"/>
  <c r="AD122" i="1"/>
  <c r="AD37" i="1"/>
  <c r="AA37" i="1"/>
  <c r="AA86" i="1"/>
  <c r="AA87" i="1" s="1"/>
  <c r="F193" i="1"/>
  <c r="H231" i="1"/>
  <c r="H233" i="1" s="1"/>
  <c r="X37" i="1"/>
  <c r="Y37" i="1" s="1"/>
  <c r="AT226" i="1"/>
  <c r="AF37" i="1"/>
  <c r="AD86" i="1"/>
  <c r="AD87" i="1" s="1"/>
  <c r="C187" i="5" l="1"/>
  <c r="D186" i="5"/>
  <c r="AG131" i="4"/>
  <c r="M93" i="4" s="1"/>
  <c r="AG143" i="4"/>
  <c r="AA93" i="4" s="1"/>
  <c r="AG46" i="4"/>
  <c r="M8" i="4" s="1"/>
  <c r="AG145" i="4"/>
  <c r="AA97" i="4" s="1"/>
  <c r="AG60" i="3"/>
  <c r="AA12" i="3" s="1"/>
  <c r="T132" i="3"/>
  <c r="AG132" i="3" s="1"/>
  <c r="M95" i="3" s="1"/>
  <c r="S122" i="3"/>
  <c r="AF138" i="3"/>
  <c r="AD137" i="3"/>
  <c r="AH66" i="4"/>
  <c r="AD12" i="4"/>
  <c r="G79" i="3"/>
  <c r="J79" i="3" s="1"/>
  <c r="L85" i="3" s="1"/>
  <c r="AG72" i="3"/>
  <c r="B166" i="4"/>
  <c r="B180" i="4"/>
  <c r="B211" i="4" s="1"/>
  <c r="AH150" i="3"/>
  <c r="AD95" i="3"/>
  <c r="AH153" i="3"/>
  <c r="AD101" i="3"/>
  <c r="AT228" i="3"/>
  <c r="R52" i="4"/>
  <c r="T53" i="4"/>
  <c r="B179" i="4"/>
  <c r="B210" i="4" s="1"/>
  <c r="B80" i="4"/>
  <c r="B164" i="4"/>
  <c r="L180" i="4"/>
  <c r="B213" i="4" s="1"/>
  <c r="AH153" i="4"/>
  <c r="AD101" i="4"/>
  <c r="F122" i="4"/>
  <c r="D80" i="3"/>
  <c r="G80" i="3" s="1"/>
  <c r="H85" i="3" s="1"/>
  <c r="AG73" i="3"/>
  <c r="G55" i="4"/>
  <c r="E52" i="4"/>
  <c r="O138" i="4"/>
  <c r="Q139" i="4"/>
  <c r="AD99" i="3"/>
  <c r="AH152" i="3"/>
  <c r="R52" i="3"/>
  <c r="T53" i="3"/>
  <c r="AG131" i="3"/>
  <c r="M93" i="3" s="1"/>
  <c r="E52" i="3"/>
  <c r="G55" i="3"/>
  <c r="AD137" i="4"/>
  <c r="AF138" i="4"/>
  <c r="E138" i="3"/>
  <c r="G139" i="3"/>
  <c r="H53" i="4"/>
  <c r="J55" i="4"/>
  <c r="D54" i="4"/>
  <c r="B53" i="4"/>
  <c r="AG74" i="3"/>
  <c r="D81" i="3"/>
  <c r="G81" i="3" s="1"/>
  <c r="J81" i="3" s="1"/>
  <c r="N85" i="3" s="1"/>
  <c r="AT226" i="3"/>
  <c r="AT231" i="3"/>
  <c r="X137" i="4"/>
  <c r="Z141" i="4"/>
  <c r="AG141" i="4" s="1"/>
  <c r="AH135" i="4" s="1"/>
  <c r="S101" i="4" s="1"/>
  <c r="AG158" i="4"/>
  <c r="AG157" i="4"/>
  <c r="AT229" i="3"/>
  <c r="AH67" i="4"/>
  <c r="AD14" i="4"/>
  <c r="AH65" i="4"/>
  <c r="AD10" i="4"/>
  <c r="O54" i="4"/>
  <c r="Q55" i="4"/>
  <c r="L52" i="4"/>
  <c r="N54" i="4"/>
  <c r="L52" i="3"/>
  <c r="N54" i="3"/>
  <c r="R137" i="4"/>
  <c r="T138" i="4"/>
  <c r="AT230" i="3"/>
  <c r="J138" i="4"/>
  <c r="H137" i="4"/>
  <c r="Q139" i="3"/>
  <c r="O138" i="3"/>
  <c r="D133" i="4"/>
  <c r="AG133" i="4" s="1"/>
  <c r="M97" i="4" s="1"/>
  <c r="C122" i="4"/>
  <c r="D166" i="3"/>
  <c r="G170" i="3" s="1"/>
  <c r="AG159" i="3"/>
  <c r="L179" i="4"/>
  <c r="B212" i="4" s="1"/>
  <c r="B82" i="4"/>
  <c r="AH152" i="4"/>
  <c r="AD99" i="4"/>
  <c r="L137" i="4"/>
  <c r="N139" i="4"/>
  <c r="B137" i="3"/>
  <c r="D139" i="3"/>
  <c r="AG46" i="3"/>
  <c r="M8" i="3" s="1"/>
  <c r="J55" i="3"/>
  <c r="H53" i="3"/>
  <c r="W139" i="3"/>
  <c r="U138" i="3"/>
  <c r="V179" i="4"/>
  <c r="Y210" i="4" s="1"/>
  <c r="B81" i="4"/>
  <c r="D48" i="3"/>
  <c r="AG48" i="3" s="1"/>
  <c r="M12" i="3" s="1"/>
  <c r="C37" i="3"/>
  <c r="AT232" i="3"/>
  <c r="U138" i="4"/>
  <c r="W139" i="4"/>
  <c r="Q55" i="3"/>
  <c r="O54" i="3"/>
  <c r="AT227" i="3"/>
  <c r="G82" i="3"/>
  <c r="J85" i="3" s="1"/>
  <c r="AG75" i="3"/>
  <c r="B79" i="4"/>
  <c r="AF179" i="4"/>
  <c r="Y212" i="4" s="1"/>
  <c r="AG159" i="4"/>
  <c r="AG157" i="3"/>
  <c r="D164" i="3"/>
  <c r="G164" i="3" s="1"/>
  <c r="H170" i="3" s="1"/>
  <c r="V180" i="4"/>
  <c r="Y211" i="4" s="1"/>
  <c r="B165" i="4"/>
  <c r="L137" i="3"/>
  <c r="N139" i="3"/>
  <c r="Q159" i="1"/>
  <c r="Q122" i="1"/>
  <c r="N122" i="1"/>
  <c r="M122" i="1" s="1"/>
  <c r="N139" i="1" s="1"/>
  <c r="D122" i="1"/>
  <c r="D133" i="1" s="1"/>
  <c r="B73" i="1"/>
  <c r="AG59" i="1"/>
  <c r="AA10" i="1" s="1"/>
  <c r="P122" i="2"/>
  <c r="Q139" i="2" s="1"/>
  <c r="L157" i="2"/>
  <c r="L122" i="2"/>
  <c r="L131" i="2" s="1"/>
  <c r="B157" i="2"/>
  <c r="D164" i="2" s="1"/>
  <c r="G164" i="2" s="1"/>
  <c r="H170" i="2" s="1"/>
  <c r="R46" i="2"/>
  <c r="S37" i="2"/>
  <c r="O60" i="2"/>
  <c r="G61" i="2"/>
  <c r="D171" i="2"/>
  <c r="D172" i="2" s="1"/>
  <c r="D166" i="2" s="1"/>
  <c r="S37" i="1"/>
  <c r="T53" i="1" s="1"/>
  <c r="F122" i="1"/>
  <c r="E138" i="1" s="1"/>
  <c r="V122" i="1"/>
  <c r="W139" i="1" s="1"/>
  <c r="F37" i="2"/>
  <c r="I37" i="2"/>
  <c r="H53" i="2" s="1"/>
  <c r="AC160" i="2"/>
  <c r="G75" i="1"/>
  <c r="AG75" i="1" s="1"/>
  <c r="AT232" i="2"/>
  <c r="V122" i="2"/>
  <c r="F122" i="2"/>
  <c r="G139" i="2" s="1"/>
  <c r="T133" i="2"/>
  <c r="T132" i="2"/>
  <c r="N132" i="2"/>
  <c r="N133" i="2"/>
  <c r="N132" i="1"/>
  <c r="N133" i="1"/>
  <c r="J133" i="2"/>
  <c r="J132" i="2"/>
  <c r="D132" i="1"/>
  <c r="AG132" i="1" s="1"/>
  <c r="M95" i="1" s="1"/>
  <c r="AG143" i="1"/>
  <c r="AA93" i="1" s="1"/>
  <c r="AE37" i="1"/>
  <c r="X131" i="2"/>
  <c r="Y122" i="2"/>
  <c r="S122" i="2"/>
  <c r="T138" i="2" s="1"/>
  <c r="AE122" i="2"/>
  <c r="AD131" i="2"/>
  <c r="AG158" i="2"/>
  <c r="D165" i="2"/>
  <c r="E170" i="2" s="1"/>
  <c r="B143" i="2"/>
  <c r="AG143" i="2" s="1"/>
  <c r="AA93" i="2" s="1"/>
  <c r="D144" i="2"/>
  <c r="AG144" i="2" s="1"/>
  <c r="AA95" i="2" s="1"/>
  <c r="B131" i="2"/>
  <c r="C122" i="2"/>
  <c r="D139" i="2" s="1"/>
  <c r="AG159" i="2"/>
  <c r="B47" i="2"/>
  <c r="AG47" i="2" s="1"/>
  <c r="M10" i="2" s="1"/>
  <c r="C37" i="2"/>
  <c r="N138" i="2"/>
  <c r="R72" i="2"/>
  <c r="T73" i="2"/>
  <c r="AG145" i="2"/>
  <c r="AA97" i="2" s="1"/>
  <c r="G79" i="2"/>
  <c r="J79" i="2" s="1"/>
  <c r="L85" i="2" s="1"/>
  <c r="J139" i="2"/>
  <c r="H137" i="2"/>
  <c r="U138" i="2"/>
  <c r="W139" i="2"/>
  <c r="D74" i="2"/>
  <c r="B73" i="2"/>
  <c r="L46" i="2"/>
  <c r="AG46" i="2" s="1"/>
  <c r="M8" i="2" s="1"/>
  <c r="M37" i="2"/>
  <c r="AB122" i="2"/>
  <c r="AA133" i="2"/>
  <c r="G82" i="2"/>
  <c r="J85" i="2" s="1"/>
  <c r="AG75" i="2"/>
  <c r="P37" i="2"/>
  <c r="O48" i="2"/>
  <c r="AG48" i="2" s="1"/>
  <c r="M12" i="2" s="1"/>
  <c r="R58" i="2"/>
  <c r="T59" i="2"/>
  <c r="X157" i="2"/>
  <c r="Z161" i="2"/>
  <c r="AG58" i="2"/>
  <c r="AA8" i="2" s="1"/>
  <c r="V37" i="2"/>
  <c r="J61" i="2"/>
  <c r="AG61" i="2" s="1"/>
  <c r="AA14" i="2" s="1"/>
  <c r="H59" i="2"/>
  <c r="AG59" i="2" s="1"/>
  <c r="AA10" i="2" s="1"/>
  <c r="AC167" i="2"/>
  <c r="AF167" i="2" s="1"/>
  <c r="AU167" i="2" s="1"/>
  <c r="AG160" i="2"/>
  <c r="AG60" i="2"/>
  <c r="AA12" i="2" s="1"/>
  <c r="AE122" i="1"/>
  <c r="AD131" i="1"/>
  <c r="B157" i="1"/>
  <c r="D158" i="1"/>
  <c r="L157" i="1"/>
  <c r="N158" i="1"/>
  <c r="AC167" i="1"/>
  <c r="AF167" i="1" s="1"/>
  <c r="AU167" i="1" s="1"/>
  <c r="AG160" i="1"/>
  <c r="C122" i="1"/>
  <c r="D139" i="1" s="1"/>
  <c r="F37" i="1"/>
  <c r="O48" i="1"/>
  <c r="AG48" i="1" s="1"/>
  <c r="M12" i="1" s="1"/>
  <c r="P37" i="1"/>
  <c r="AG74" i="1"/>
  <c r="AA139" i="1"/>
  <c r="AC140" i="1"/>
  <c r="AG140" i="1" s="1"/>
  <c r="AH134" i="1" s="1"/>
  <c r="S99" i="1" s="1"/>
  <c r="AG161" i="1"/>
  <c r="Z168" i="1"/>
  <c r="AC168" i="1" s="1"/>
  <c r="AF168" i="1" s="1"/>
  <c r="AU168" i="1" s="1"/>
  <c r="R72" i="1"/>
  <c r="AG72" i="1" s="1"/>
  <c r="T73" i="1"/>
  <c r="AG73" i="1" s="1"/>
  <c r="L46" i="1"/>
  <c r="AG46" i="1" s="1"/>
  <c r="M8" i="1" s="1"/>
  <c r="M37" i="1"/>
  <c r="J55" i="1"/>
  <c r="H53" i="1"/>
  <c r="U138" i="1"/>
  <c r="AA145" i="1"/>
  <c r="AC146" i="1"/>
  <c r="AG146" i="1" s="1"/>
  <c r="AA99" i="1" s="1"/>
  <c r="AB37" i="1"/>
  <c r="E144" i="1"/>
  <c r="AG144" i="1" s="1"/>
  <c r="AA95" i="1" s="1"/>
  <c r="G145" i="1"/>
  <c r="C37" i="1"/>
  <c r="G139" i="1"/>
  <c r="AG159" i="1"/>
  <c r="R52" i="1"/>
  <c r="AG58" i="1"/>
  <c r="AA8" i="1" s="1"/>
  <c r="AG47" i="1"/>
  <c r="M10" i="1" s="1"/>
  <c r="S122" i="1"/>
  <c r="T138" i="1" s="1"/>
  <c r="R131" i="1"/>
  <c r="AG61" i="1"/>
  <c r="AA14" i="1" s="1"/>
  <c r="AG60" i="1"/>
  <c r="AA12" i="1" s="1"/>
  <c r="Y122" i="1"/>
  <c r="H131" i="1"/>
  <c r="I122" i="1"/>
  <c r="J138" i="1" s="1"/>
  <c r="C188" i="5" l="1"/>
  <c r="D187" i="5"/>
  <c r="AG55" i="4"/>
  <c r="AH49" i="4" s="1"/>
  <c r="S14" i="4" s="1"/>
  <c r="AG139" i="3"/>
  <c r="AH133" i="3" s="1"/>
  <c r="S97" i="3" s="1"/>
  <c r="AG55" i="3"/>
  <c r="AH49" i="3" s="1"/>
  <c r="S14" i="3" s="1"/>
  <c r="AH65" i="3"/>
  <c r="AD10" i="3"/>
  <c r="AT80" i="4"/>
  <c r="AH66" i="3"/>
  <c r="AD12" i="3"/>
  <c r="H86" i="3"/>
  <c r="H87" i="3" s="1"/>
  <c r="J80" i="3" s="1"/>
  <c r="N80" i="3" s="1"/>
  <c r="Q80" i="3" s="1"/>
  <c r="T85" i="3" s="1"/>
  <c r="B227" i="4"/>
  <c r="A190" i="4"/>
  <c r="B228" i="4"/>
  <c r="A199" i="4"/>
  <c r="T138" i="3"/>
  <c r="AG138" i="3" s="1"/>
  <c r="AH132" i="3" s="1"/>
  <c r="S95" i="3" s="1"/>
  <c r="R137" i="3"/>
  <c r="AG137" i="3" s="1"/>
  <c r="AH131" i="3" s="1"/>
  <c r="S93" i="3" s="1"/>
  <c r="AT165" i="4"/>
  <c r="AH67" i="3"/>
  <c r="AD14" i="3"/>
  <c r="AT81" i="4"/>
  <c r="AH151" i="3"/>
  <c r="AD97" i="3"/>
  <c r="AH149" i="4"/>
  <c r="AD93" i="4"/>
  <c r="AG54" i="4"/>
  <c r="AH48" i="4" s="1"/>
  <c r="S12" i="4" s="1"/>
  <c r="AT164" i="4"/>
  <c r="AH64" i="3"/>
  <c r="AD8" i="3"/>
  <c r="X228" i="4"/>
  <c r="V199" i="4"/>
  <c r="AH151" i="4"/>
  <c r="AD97" i="4"/>
  <c r="J86" i="3"/>
  <c r="J87" i="3" s="1"/>
  <c r="J82" i="3" s="1"/>
  <c r="N82" i="3" s="1"/>
  <c r="Q85" i="3" s="1"/>
  <c r="X227" i="4"/>
  <c r="U202" i="4"/>
  <c r="V190" i="4"/>
  <c r="AC193" i="4"/>
  <c r="G171" i="3"/>
  <c r="G172" i="3" s="1"/>
  <c r="G166" i="3" s="1"/>
  <c r="J166" i="3" s="1"/>
  <c r="N170" i="3" s="1"/>
  <c r="E171" i="3"/>
  <c r="E172" i="3" s="1"/>
  <c r="G165" i="3" s="1"/>
  <c r="J170" i="3" s="1"/>
  <c r="AH150" i="4"/>
  <c r="AD95" i="4"/>
  <c r="N86" i="3"/>
  <c r="N87" i="3" s="1"/>
  <c r="N81" i="3" s="1"/>
  <c r="O85" i="3" s="1"/>
  <c r="AG52" i="3"/>
  <c r="AH46" i="3" s="1"/>
  <c r="S8" i="3" s="1"/>
  <c r="L86" i="3"/>
  <c r="L87" i="3" s="1"/>
  <c r="N79" i="3" s="1"/>
  <c r="Q79" i="3" s="1"/>
  <c r="R85" i="3" s="1"/>
  <c r="X229" i="4"/>
  <c r="V204" i="4"/>
  <c r="D54" i="3"/>
  <c r="AG54" i="3" s="1"/>
  <c r="AH48" i="3" s="1"/>
  <c r="S12" i="3" s="1"/>
  <c r="B53" i="3"/>
  <c r="AG53" i="3" s="1"/>
  <c r="AH47" i="3" s="1"/>
  <c r="S10" i="3" s="1"/>
  <c r="AT82" i="4"/>
  <c r="B137" i="4"/>
  <c r="AG137" i="4" s="1"/>
  <c r="AH131" i="4" s="1"/>
  <c r="S93" i="4" s="1"/>
  <c r="D139" i="4"/>
  <c r="AH149" i="3"/>
  <c r="AD93" i="3"/>
  <c r="AT79" i="4"/>
  <c r="B229" i="4"/>
  <c r="A204" i="4"/>
  <c r="A193" i="4"/>
  <c r="AG53" i="4"/>
  <c r="AH47" i="4" s="1"/>
  <c r="S10" i="4" s="1"/>
  <c r="AG52" i="4"/>
  <c r="AH46" i="4" s="1"/>
  <c r="S8" i="4" s="1"/>
  <c r="G139" i="4"/>
  <c r="E138" i="4"/>
  <c r="AG138" i="4" s="1"/>
  <c r="AH132" i="4" s="1"/>
  <c r="S95" i="4" s="1"/>
  <c r="B230" i="4"/>
  <c r="A195" i="4"/>
  <c r="AT166" i="4"/>
  <c r="Q133" i="1"/>
  <c r="P122" i="1"/>
  <c r="AG133" i="1"/>
  <c r="M97" i="1" s="1"/>
  <c r="AG157" i="2"/>
  <c r="AD93" i="2" s="1"/>
  <c r="M122" i="2"/>
  <c r="N139" i="2" s="1"/>
  <c r="O138" i="2"/>
  <c r="E138" i="2"/>
  <c r="G170" i="2"/>
  <c r="E171" i="2" s="1"/>
  <c r="E172" i="2" s="1"/>
  <c r="G165" i="2" s="1"/>
  <c r="T53" i="2"/>
  <c r="R52" i="2"/>
  <c r="J55" i="2"/>
  <c r="AG132" i="2"/>
  <c r="M95" i="2" s="1"/>
  <c r="E52" i="2"/>
  <c r="G55" i="2"/>
  <c r="AG131" i="1"/>
  <c r="M93" i="1" s="1"/>
  <c r="AG133" i="2"/>
  <c r="M97" i="2" s="1"/>
  <c r="AH149" i="2"/>
  <c r="B53" i="2"/>
  <c r="D54" i="2"/>
  <c r="AH150" i="2"/>
  <c r="AD95" i="2"/>
  <c r="O54" i="2"/>
  <c r="Q55" i="2"/>
  <c r="N54" i="2"/>
  <c r="L52" i="2"/>
  <c r="AH67" i="2"/>
  <c r="AD14" i="2"/>
  <c r="AH152" i="2"/>
  <c r="AD99" i="2"/>
  <c r="Z168" i="2"/>
  <c r="AC168" i="2" s="1"/>
  <c r="AF168" i="2" s="1"/>
  <c r="AU168" i="2" s="1"/>
  <c r="AG161" i="2"/>
  <c r="B137" i="2"/>
  <c r="D138" i="2"/>
  <c r="AD137" i="2"/>
  <c r="AF138" i="2"/>
  <c r="D80" i="2"/>
  <c r="G80" i="2" s="1"/>
  <c r="AG73" i="2"/>
  <c r="AH151" i="2"/>
  <c r="AD97" i="2"/>
  <c r="AG131" i="2"/>
  <c r="M93" i="2" s="1"/>
  <c r="R137" i="2"/>
  <c r="T139" i="2"/>
  <c r="D81" i="2"/>
  <c r="G81" i="2" s="1"/>
  <c r="J81" i="2" s="1"/>
  <c r="AG74" i="2"/>
  <c r="AG72" i="2"/>
  <c r="Z141" i="2"/>
  <c r="AG141" i="2" s="1"/>
  <c r="AH135" i="2" s="1"/>
  <c r="S101" i="2" s="1"/>
  <c r="X137" i="2"/>
  <c r="AA139" i="2"/>
  <c r="AC140" i="2"/>
  <c r="AG140" i="2" s="1"/>
  <c r="AH134" i="2" s="1"/>
  <c r="S99" i="2" s="1"/>
  <c r="AH64" i="1"/>
  <c r="AD8" i="1"/>
  <c r="AG145" i="1"/>
  <c r="AA97" i="1" s="1"/>
  <c r="L52" i="1"/>
  <c r="N54" i="1"/>
  <c r="G55" i="1"/>
  <c r="E52" i="1"/>
  <c r="AD137" i="1"/>
  <c r="AF138" i="1"/>
  <c r="J139" i="1"/>
  <c r="H137" i="1"/>
  <c r="AH151" i="1"/>
  <c r="AD97" i="1"/>
  <c r="L137" i="1"/>
  <c r="N138" i="1"/>
  <c r="AH66" i="1"/>
  <c r="AD12" i="1"/>
  <c r="AG158" i="1"/>
  <c r="R137" i="1"/>
  <c r="T139" i="1"/>
  <c r="B137" i="1"/>
  <c r="D138" i="1"/>
  <c r="AH152" i="1"/>
  <c r="AD99" i="1"/>
  <c r="AG157" i="1"/>
  <c r="Z141" i="1"/>
  <c r="AG141" i="1" s="1"/>
  <c r="AH135" i="1" s="1"/>
  <c r="S101" i="1" s="1"/>
  <c r="X137" i="1"/>
  <c r="B53" i="1"/>
  <c r="AG53" i="1" s="1"/>
  <c r="AH47" i="1" s="1"/>
  <c r="S10" i="1" s="1"/>
  <c r="D54" i="1"/>
  <c r="AH153" i="1"/>
  <c r="AD101" i="1"/>
  <c r="AD14" i="1"/>
  <c r="AH67" i="1"/>
  <c r="O54" i="1"/>
  <c r="Q55" i="1"/>
  <c r="AH65" i="1"/>
  <c r="AD10" i="1"/>
  <c r="C189" i="5" l="1"/>
  <c r="D188" i="5"/>
  <c r="AG139" i="4"/>
  <c r="AH133" i="4" s="1"/>
  <c r="S97" i="4" s="1"/>
  <c r="R86" i="3"/>
  <c r="R87" i="3" s="1"/>
  <c r="T79" i="3" s="1"/>
  <c r="W79" i="3" s="1"/>
  <c r="Z79" i="3" s="1"/>
  <c r="AC79" i="3" s="1"/>
  <c r="AF79" i="3" s="1"/>
  <c r="AU79" i="3" s="1"/>
  <c r="AX3" i="3" s="1"/>
  <c r="T86" i="3"/>
  <c r="T87" i="3" s="1"/>
  <c r="T80" i="3" s="1"/>
  <c r="W80" i="3" s="1"/>
  <c r="Z80" i="3" s="1"/>
  <c r="AC80" i="3" s="1"/>
  <c r="AF80" i="3" s="1"/>
  <c r="AU80" i="3" s="1"/>
  <c r="AX6" i="3" s="1"/>
  <c r="Q86" i="3"/>
  <c r="Q87" i="3" s="1"/>
  <c r="Q82" i="3" s="1"/>
  <c r="T82" i="3" s="1"/>
  <c r="W82" i="3" s="1"/>
  <c r="Z82" i="3" s="1"/>
  <c r="AC82" i="3" s="1"/>
  <c r="AF82" i="3" s="1"/>
  <c r="AU82" i="3" s="1"/>
  <c r="AX9" i="3" s="1"/>
  <c r="AT231" i="4"/>
  <c r="AT229" i="4"/>
  <c r="AT226" i="4"/>
  <c r="O86" i="3"/>
  <c r="O87" i="3" s="1"/>
  <c r="Q81" i="3" s="1"/>
  <c r="T81" i="3" s="1"/>
  <c r="W81" i="3" s="1"/>
  <c r="Z81" i="3" s="1"/>
  <c r="AC81" i="3" s="1"/>
  <c r="AF81" i="3" s="1"/>
  <c r="AU81" i="3" s="1"/>
  <c r="AX7" i="3" s="1"/>
  <c r="AT230" i="4"/>
  <c r="AT228" i="4"/>
  <c r="AT232" i="4"/>
  <c r="J171" i="3"/>
  <c r="J172" i="3" s="1"/>
  <c r="J165" i="3" s="1"/>
  <c r="N165" i="3" s="1"/>
  <c r="O170" i="3" s="1"/>
  <c r="AT227" i="4"/>
  <c r="H171" i="3"/>
  <c r="H172" i="3" s="1"/>
  <c r="J164" i="3" s="1"/>
  <c r="L170" i="3" s="1"/>
  <c r="O138" i="1"/>
  <c r="Q139" i="1"/>
  <c r="AG139" i="1" s="1"/>
  <c r="AH133" i="1" s="1"/>
  <c r="S97" i="1" s="1"/>
  <c r="L137" i="2"/>
  <c r="G171" i="2"/>
  <c r="G172" i="2" s="1"/>
  <c r="G166" i="2" s="1"/>
  <c r="J166" i="2" s="1"/>
  <c r="AG53" i="2"/>
  <c r="AH47" i="2" s="1"/>
  <c r="S10" i="2" s="1"/>
  <c r="AG52" i="2"/>
  <c r="AH46" i="2" s="1"/>
  <c r="S8" i="2" s="1"/>
  <c r="AG55" i="2"/>
  <c r="AH49" i="2" s="1"/>
  <c r="S14" i="2" s="1"/>
  <c r="AG52" i="1"/>
  <c r="AH46" i="1" s="1"/>
  <c r="S8" i="1" s="1"/>
  <c r="AG138" i="2"/>
  <c r="AH132" i="2" s="1"/>
  <c r="S95" i="2" s="1"/>
  <c r="AG139" i="2"/>
  <c r="AH133" i="2" s="1"/>
  <c r="S97" i="2" s="1"/>
  <c r="J170" i="2"/>
  <c r="AG138" i="1"/>
  <c r="AH132" i="1" s="1"/>
  <c r="S95" i="1" s="1"/>
  <c r="AG54" i="1"/>
  <c r="AH48" i="1" s="1"/>
  <c r="S12" i="1" s="1"/>
  <c r="AG137" i="2"/>
  <c r="AH131" i="2" s="1"/>
  <c r="S93" i="2" s="1"/>
  <c r="AH64" i="2"/>
  <c r="AD8" i="2"/>
  <c r="AH65" i="2"/>
  <c r="AD10" i="2"/>
  <c r="AH66" i="2"/>
  <c r="AD12" i="2"/>
  <c r="H85" i="2"/>
  <c r="N85" i="2"/>
  <c r="AH153" i="2"/>
  <c r="AD101" i="2"/>
  <c r="AG54" i="2"/>
  <c r="AH48" i="2" s="1"/>
  <c r="S12" i="2" s="1"/>
  <c r="AG137" i="1"/>
  <c r="AH131" i="1" s="1"/>
  <c r="S93" i="1" s="1"/>
  <c r="AG55" i="1"/>
  <c r="AH49" i="1" s="1"/>
  <c r="S14" i="1" s="1"/>
  <c r="AH149" i="1"/>
  <c r="AD93" i="1"/>
  <c r="AH150" i="1"/>
  <c r="AD95" i="1"/>
  <c r="C190" i="5" l="1"/>
  <c r="D189" i="5"/>
  <c r="AW8" i="4"/>
  <c r="C166" i="4" s="1"/>
  <c r="D170" i="4" s="1"/>
  <c r="Y229" i="3"/>
  <c r="Z229" i="3" s="1"/>
  <c r="AC231" i="3" s="1"/>
  <c r="AC233" i="3" s="1"/>
  <c r="AC229" i="3" s="1"/>
  <c r="AF229" i="3" s="1"/>
  <c r="AU232" i="3" s="1"/>
  <c r="AW3" i="4"/>
  <c r="C79" i="4" s="1"/>
  <c r="D79" i="4" s="1"/>
  <c r="E85" i="4" s="1"/>
  <c r="C227" i="3"/>
  <c r="B231" i="3" s="1"/>
  <c r="B233" i="3" s="1"/>
  <c r="D227" i="3" s="1"/>
  <c r="G227" i="3" s="1"/>
  <c r="J227" i="3" s="1"/>
  <c r="AU226" i="3" s="1"/>
  <c r="AW4" i="4"/>
  <c r="C164" i="4" s="1"/>
  <c r="B170" i="4" s="1"/>
  <c r="Y227" i="3"/>
  <c r="X231" i="3" s="1"/>
  <c r="X233" i="3" s="1"/>
  <c r="Z227" i="3" s="1"/>
  <c r="AC227" i="3" s="1"/>
  <c r="AD231" i="3" s="1"/>
  <c r="AD233" i="3" s="1"/>
  <c r="AF227" i="3" s="1"/>
  <c r="AU230" i="3" s="1"/>
  <c r="AW9" i="4"/>
  <c r="C229" i="3"/>
  <c r="D229" i="3" s="1"/>
  <c r="G231" i="3" s="1"/>
  <c r="G233" i="3" s="1"/>
  <c r="G229" i="3" s="1"/>
  <c r="J229" i="3" s="1"/>
  <c r="AU228" i="3" s="1"/>
  <c r="AY3" i="3" s="1"/>
  <c r="L171" i="3"/>
  <c r="L172" i="3" s="1"/>
  <c r="N164" i="3" s="1"/>
  <c r="Q164" i="3" s="1"/>
  <c r="R170" i="3" s="1"/>
  <c r="N171" i="3"/>
  <c r="N172" i="3" s="1"/>
  <c r="N166" i="3" s="1"/>
  <c r="Q170" i="3" s="1"/>
  <c r="N170" i="2"/>
  <c r="J171" i="2"/>
  <c r="J172" i="2" s="1"/>
  <c r="J165" i="2" s="1"/>
  <c r="N165" i="2" s="1"/>
  <c r="O170" i="2" s="1"/>
  <c r="H171" i="2"/>
  <c r="H172" i="2" s="1"/>
  <c r="J164" i="2" s="1"/>
  <c r="N86" i="2"/>
  <c r="N87" i="2" s="1"/>
  <c r="N81" i="2" s="1"/>
  <c r="O85" i="2" s="1"/>
  <c r="L86" i="2"/>
  <c r="L87" i="2" s="1"/>
  <c r="N79" i="2" s="1"/>
  <c r="Q79" i="2" s="1"/>
  <c r="H86" i="2"/>
  <c r="H87" i="2" s="1"/>
  <c r="J80" i="2" s="1"/>
  <c r="N80" i="2" s="1"/>
  <c r="Q80" i="2" s="1"/>
  <c r="T85" i="2" s="1"/>
  <c r="J86" i="2"/>
  <c r="J87" i="2" s="1"/>
  <c r="J82" i="2" s="1"/>
  <c r="N82" i="2" s="1"/>
  <c r="C191" i="5" l="1"/>
  <c r="D190" i="5"/>
  <c r="AY9" i="3"/>
  <c r="AY7" i="3"/>
  <c r="AY6" i="3"/>
  <c r="Q171" i="3"/>
  <c r="Q172" i="3" s="1"/>
  <c r="Q166" i="3" s="1"/>
  <c r="T166" i="3" s="1"/>
  <c r="O171" i="3"/>
  <c r="O172" i="3" s="1"/>
  <c r="Q165" i="3" s="1"/>
  <c r="T170" i="3" s="1"/>
  <c r="R171" i="3" s="1"/>
  <c r="R172" i="3" s="1"/>
  <c r="T164" i="3" s="1"/>
  <c r="W164" i="3" s="1"/>
  <c r="B171" i="4"/>
  <c r="B172" i="4" s="1"/>
  <c r="D164" i="4" s="1"/>
  <c r="G164" i="4" s="1"/>
  <c r="H170" i="4" s="1"/>
  <c r="D171" i="4"/>
  <c r="D172" i="4" s="1"/>
  <c r="D166" i="4" s="1"/>
  <c r="G170" i="4" s="1"/>
  <c r="L170" i="2"/>
  <c r="N171" i="2" s="1"/>
  <c r="N172" i="2" s="1"/>
  <c r="N166" i="2" s="1"/>
  <c r="R85" i="2"/>
  <c r="T86" i="2" s="1"/>
  <c r="T87" i="2" s="1"/>
  <c r="T80" i="2" s="1"/>
  <c r="W80" i="2" s="1"/>
  <c r="Z80" i="2" s="1"/>
  <c r="AC80" i="2" s="1"/>
  <c r="AF80" i="2" s="1"/>
  <c r="AU80" i="2" s="1"/>
  <c r="AX6" i="2" s="1"/>
  <c r="Q85" i="2"/>
  <c r="Q86" i="2" s="1"/>
  <c r="Q87" i="2" s="1"/>
  <c r="Q82" i="2" s="1"/>
  <c r="T82" i="2" s="1"/>
  <c r="W82" i="2" s="1"/>
  <c r="Z82" i="2" s="1"/>
  <c r="AC82" i="2" s="1"/>
  <c r="AF82" i="2" s="1"/>
  <c r="AU82" i="2" s="1"/>
  <c r="AX9" i="2" s="1"/>
  <c r="C192" i="5" l="1"/>
  <c r="D191" i="5"/>
  <c r="X170" i="3"/>
  <c r="Z164" i="3"/>
  <c r="AC164" i="3" s="1"/>
  <c r="W170" i="3"/>
  <c r="W166" i="3"/>
  <c r="Z166" i="3" s="1"/>
  <c r="T171" i="3"/>
  <c r="T172" i="3" s="1"/>
  <c r="T165" i="3" s="1"/>
  <c r="Q170" i="2"/>
  <c r="L171" i="2"/>
  <c r="L172" i="2" s="1"/>
  <c r="N164" i="2" s="1"/>
  <c r="Q164" i="2" s="1"/>
  <c r="Y227" i="2"/>
  <c r="X231" i="2" s="1"/>
  <c r="X233" i="2" s="1"/>
  <c r="Z227" i="2" s="1"/>
  <c r="AC227" i="2" s="1"/>
  <c r="AD231" i="2" s="1"/>
  <c r="AD233" i="2" s="1"/>
  <c r="AF227" i="2" s="1"/>
  <c r="AU230" i="2" s="1"/>
  <c r="AY9" i="2" s="1"/>
  <c r="AW4" i="1"/>
  <c r="C164" i="1" s="1"/>
  <c r="O86" i="2"/>
  <c r="O87" i="2" s="1"/>
  <c r="Q81" i="2" s="1"/>
  <c r="T81" i="2" s="1"/>
  <c r="W81" i="2" s="1"/>
  <c r="Z81" i="2" s="1"/>
  <c r="AC81" i="2" s="1"/>
  <c r="AF81" i="2" s="1"/>
  <c r="AU81" i="2" s="1"/>
  <c r="AX7" i="2" s="1"/>
  <c r="AW3" i="1" s="1"/>
  <c r="C79" i="1" s="1"/>
  <c r="D79" i="1" s="1"/>
  <c r="AW8" i="1"/>
  <c r="C166" i="1" s="1"/>
  <c r="Y229" i="2"/>
  <c r="Z229" i="2" s="1"/>
  <c r="AC231" i="2" s="1"/>
  <c r="AC233" i="2" s="1"/>
  <c r="AC229" i="2" s="1"/>
  <c r="AF229" i="2" s="1"/>
  <c r="AU232" i="2" s="1"/>
  <c r="AY6" i="2" s="1"/>
  <c r="R86" i="2"/>
  <c r="R87" i="2" s="1"/>
  <c r="T79" i="2" s="1"/>
  <c r="W79" i="2" s="1"/>
  <c r="Z79" i="2" s="1"/>
  <c r="AC79" i="2" s="1"/>
  <c r="AF79" i="2" s="1"/>
  <c r="AU79" i="2" s="1"/>
  <c r="AX3" i="2" s="1"/>
  <c r="D192" i="5" l="1"/>
  <c r="C193" i="5"/>
  <c r="U170" i="3"/>
  <c r="W171" i="3" s="1"/>
  <c r="W172" i="3" s="1"/>
  <c r="W165" i="3"/>
  <c r="Z165" i="3" s="1"/>
  <c r="AC165" i="3" s="1"/>
  <c r="AA170" i="3"/>
  <c r="AC166" i="3"/>
  <c r="AF166" i="3" s="1"/>
  <c r="AU166" i="3" s="1"/>
  <c r="AX8" i="3" s="1"/>
  <c r="AD170" i="3"/>
  <c r="AF164" i="3"/>
  <c r="AU164" i="3" s="1"/>
  <c r="AX4" i="3" s="1"/>
  <c r="X171" i="3"/>
  <c r="X172" i="3" s="1"/>
  <c r="Z171" i="3"/>
  <c r="Z172" i="3" s="1"/>
  <c r="R170" i="2"/>
  <c r="Q171" i="2"/>
  <c r="Q172" i="2" s="1"/>
  <c r="Q166" i="2" s="1"/>
  <c r="T166" i="2" s="1"/>
  <c r="W170" i="2" s="1"/>
  <c r="O171" i="2"/>
  <c r="O172" i="2" s="1"/>
  <c r="Q165" i="2" s="1"/>
  <c r="C227" i="2"/>
  <c r="B231" i="2" s="1"/>
  <c r="B233" i="2" s="1"/>
  <c r="D227" i="2" s="1"/>
  <c r="G227" i="2" s="1"/>
  <c r="J227" i="2" s="1"/>
  <c r="AU226" i="2" s="1"/>
  <c r="AY7" i="2" s="1"/>
  <c r="B170" i="1"/>
  <c r="E85" i="1"/>
  <c r="D170" i="1"/>
  <c r="C229" i="2"/>
  <c r="D229" i="2" s="1"/>
  <c r="G231" i="2" s="1"/>
  <c r="G233" i="2" s="1"/>
  <c r="G229" i="2" s="1"/>
  <c r="J229" i="2" s="1"/>
  <c r="AU228" i="2" s="1"/>
  <c r="AY3" i="2" s="1"/>
  <c r="AW9" i="1"/>
  <c r="C82" i="1" s="1"/>
  <c r="D82" i="1" s="1"/>
  <c r="C194" i="5" l="1"/>
  <c r="D193" i="5"/>
  <c r="AA171" i="3"/>
  <c r="AA172" i="3" s="1"/>
  <c r="AC171" i="3"/>
  <c r="AC172" i="3" s="1"/>
  <c r="AF170" i="3"/>
  <c r="AD171" i="3" s="1"/>
  <c r="AD172" i="3" s="1"/>
  <c r="AF165" i="3"/>
  <c r="AU165" i="3" s="1"/>
  <c r="AX5" i="3" s="1"/>
  <c r="AW7" i="4" s="1"/>
  <c r="AW5" i="4"/>
  <c r="C165" i="4" s="1"/>
  <c r="D165" i="4" s="1"/>
  <c r="E170" i="4" s="1"/>
  <c r="Y228" i="3"/>
  <c r="Z228" i="3" s="1"/>
  <c r="AA231" i="3" s="1"/>
  <c r="AA233" i="3" s="1"/>
  <c r="AC228" i="3" s="1"/>
  <c r="AF228" i="3" s="1"/>
  <c r="AU231" i="3" s="1"/>
  <c r="AY8" i="3" s="1"/>
  <c r="U171" i="3"/>
  <c r="U172" i="3" s="1"/>
  <c r="W166" i="2"/>
  <c r="Z166" i="2" s="1"/>
  <c r="AC166" i="2" s="1"/>
  <c r="AF166" i="2" s="1"/>
  <c r="AU166" i="2" s="1"/>
  <c r="AX8" i="2" s="1"/>
  <c r="T170" i="2"/>
  <c r="T171" i="2" s="1"/>
  <c r="T172" i="2" s="1"/>
  <c r="T165" i="2" s="1"/>
  <c r="B171" i="1"/>
  <c r="B172" i="1" s="1"/>
  <c r="D164" i="1" s="1"/>
  <c r="G164" i="1" s="1"/>
  <c r="H170" i="1" s="1"/>
  <c r="D171" i="1"/>
  <c r="D172" i="1" s="1"/>
  <c r="D166" i="1" s="1"/>
  <c r="G170" i="1" s="1"/>
  <c r="G85" i="1"/>
  <c r="C195" i="5" l="1"/>
  <c r="D194" i="5"/>
  <c r="C83" i="4"/>
  <c r="D83" i="4" s="1"/>
  <c r="G83" i="4" s="1"/>
  <c r="J83" i="4" s="1"/>
  <c r="N83" i="4" s="1"/>
  <c r="Q83" i="4" s="1"/>
  <c r="T83" i="4" s="1"/>
  <c r="W83" i="4" s="1"/>
  <c r="Z83" i="4" s="1"/>
  <c r="AC83" i="4" s="1"/>
  <c r="AF83" i="4" s="1"/>
  <c r="AU83" i="4" s="1"/>
  <c r="C167" i="4"/>
  <c r="D167" i="4" s="1"/>
  <c r="G167" i="4" s="1"/>
  <c r="J167" i="4" s="1"/>
  <c r="N167" i="4" s="1"/>
  <c r="Q167" i="4" s="1"/>
  <c r="T167" i="4" s="1"/>
  <c r="W167" i="4" s="1"/>
  <c r="Z167" i="4" s="1"/>
  <c r="C168" i="4"/>
  <c r="D168" i="4" s="1"/>
  <c r="G168" i="4" s="1"/>
  <c r="J168" i="4" s="1"/>
  <c r="N168" i="4" s="1"/>
  <c r="Q168" i="4" s="1"/>
  <c r="T168" i="4" s="1"/>
  <c r="W168" i="4" s="1"/>
  <c r="C230" i="3"/>
  <c r="D231" i="3" s="1"/>
  <c r="D233" i="3" s="1"/>
  <c r="D230" i="3" s="1"/>
  <c r="G230" i="3" s="1"/>
  <c r="J230" i="3" s="1"/>
  <c r="AU229" i="3" s="1"/>
  <c r="E171" i="4"/>
  <c r="E172" i="4" s="1"/>
  <c r="G165" i="4" s="1"/>
  <c r="J170" i="4" s="1"/>
  <c r="G171" i="4"/>
  <c r="G172" i="4" s="1"/>
  <c r="G166" i="4" s="1"/>
  <c r="J166" i="4" s="1"/>
  <c r="N170" i="4" s="1"/>
  <c r="AW6" i="4"/>
  <c r="C81" i="4" s="1"/>
  <c r="D85" i="4" s="1"/>
  <c r="C228" i="3"/>
  <c r="D228" i="3" s="1"/>
  <c r="E231" i="3" s="1"/>
  <c r="E233" i="3" s="1"/>
  <c r="G228" i="3" s="1"/>
  <c r="J228" i="3" s="1"/>
  <c r="AU227" i="3" s="1"/>
  <c r="AY5" i="3" s="1"/>
  <c r="AF171" i="3"/>
  <c r="AF172" i="3" s="1"/>
  <c r="AA170" i="2"/>
  <c r="AA171" i="2" s="1"/>
  <c r="AA172" i="2" s="1"/>
  <c r="Y228" i="2"/>
  <c r="Z228" i="2" s="1"/>
  <c r="AA231" i="2" s="1"/>
  <c r="AA233" i="2" s="1"/>
  <c r="AC228" i="2" s="1"/>
  <c r="AF228" i="2" s="1"/>
  <c r="AU231" i="2" s="1"/>
  <c r="AY8" i="2" s="1"/>
  <c r="AW5" i="1"/>
  <c r="C165" i="1" s="1"/>
  <c r="D165" i="1" s="1"/>
  <c r="R171" i="2"/>
  <c r="R172" i="2" s="1"/>
  <c r="T164" i="2" s="1"/>
  <c r="W164" i="2" s="1"/>
  <c r="X170" i="2" s="1"/>
  <c r="U170" i="2"/>
  <c r="W165" i="2"/>
  <c r="Z165" i="2" s="1"/>
  <c r="AC165" i="2" s="1"/>
  <c r="E86" i="1"/>
  <c r="E87" i="1" s="1"/>
  <c r="G79" i="1" s="1"/>
  <c r="J79" i="1" s="1"/>
  <c r="G86" i="1"/>
  <c r="G87" i="1" s="1"/>
  <c r="G82" i="1" s="1"/>
  <c r="J85" i="1" s="1"/>
  <c r="C196" i="5" l="1"/>
  <c r="C197" i="5" s="1"/>
  <c r="C198" i="5" s="1"/>
  <c r="C199" i="5" s="1"/>
  <c r="C200" i="5" s="1"/>
  <c r="C201" i="5" s="1"/>
  <c r="D195" i="5"/>
  <c r="D196" i="5" s="1"/>
  <c r="D197" i="5" s="1"/>
  <c r="D198" i="5" s="1"/>
  <c r="D199" i="5" s="1"/>
  <c r="D200" i="5" s="1"/>
  <c r="D201" i="5" s="1"/>
  <c r="Z170" i="4"/>
  <c r="Z168" i="4"/>
  <c r="AC168" i="4" s="1"/>
  <c r="AF168" i="4" s="1"/>
  <c r="AU168" i="4" s="1"/>
  <c r="AC170" i="4"/>
  <c r="AC167" i="4"/>
  <c r="AF167" i="4" s="1"/>
  <c r="AU167" i="4" s="1"/>
  <c r="C80" i="4"/>
  <c r="B85" i="4" s="1"/>
  <c r="D86" i="4" s="1"/>
  <c r="D87" i="4" s="1"/>
  <c r="D81" i="4" s="1"/>
  <c r="G81" i="4" s="1"/>
  <c r="J81" i="4" s="1"/>
  <c r="N85" i="4" s="1"/>
  <c r="C82" i="4"/>
  <c r="D82" i="4" s="1"/>
  <c r="G85" i="4" s="1"/>
  <c r="AY4" i="3"/>
  <c r="J171" i="4"/>
  <c r="J172" i="4" s="1"/>
  <c r="J165" i="4" s="1"/>
  <c r="N165" i="4" s="1"/>
  <c r="O170" i="4" s="1"/>
  <c r="H171" i="4"/>
  <c r="H172" i="4" s="1"/>
  <c r="J164" i="4" s="1"/>
  <c r="L170" i="4" s="1"/>
  <c r="N171" i="4" s="1"/>
  <c r="N172" i="4" s="1"/>
  <c r="N166" i="4" s="1"/>
  <c r="Q170" i="4" s="1"/>
  <c r="L85" i="1"/>
  <c r="AC171" i="2"/>
  <c r="AC172" i="2" s="1"/>
  <c r="E170" i="1"/>
  <c r="Z164" i="2"/>
  <c r="AC164" i="2" s="1"/>
  <c r="AF164" i="2" s="1"/>
  <c r="AU164" i="2" s="1"/>
  <c r="AX4" i="2" s="1"/>
  <c r="X171" i="2"/>
  <c r="X172" i="2" s="1"/>
  <c r="Z171" i="2"/>
  <c r="Z172" i="2" s="1"/>
  <c r="AF165" i="2"/>
  <c r="AU165" i="2" s="1"/>
  <c r="AX5" i="2" s="1"/>
  <c r="AF170" i="2"/>
  <c r="W171" i="2"/>
  <c r="W172" i="2" s="1"/>
  <c r="U171" i="2"/>
  <c r="U172" i="2" s="1"/>
  <c r="B86" i="4" l="1"/>
  <c r="B87" i="4" s="1"/>
  <c r="D80" i="4" s="1"/>
  <c r="G80" i="4" s="1"/>
  <c r="H85" i="4" s="1"/>
  <c r="G86" i="4"/>
  <c r="G87" i="4" s="1"/>
  <c r="G82" i="4" s="1"/>
  <c r="J85" i="4" s="1"/>
  <c r="E86" i="4"/>
  <c r="E87" i="4" s="1"/>
  <c r="G79" i="4" s="1"/>
  <c r="J79" i="4" s="1"/>
  <c r="L85" i="4" s="1"/>
  <c r="O171" i="4"/>
  <c r="O172" i="4" s="1"/>
  <c r="Q165" i="4" s="1"/>
  <c r="T170" i="4" s="1"/>
  <c r="L171" i="4"/>
  <c r="L172" i="4" s="1"/>
  <c r="N164" i="4" s="1"/>
  <c r="Q164" i="4" s="1"/>
  <c r="R170" i="4" s="1"/>
  <c r="Q171" i="4"/>
  <c r="Q172" i="4" s="1"/>
  <c r="Q166" i="4" s="1"/>
  <c r="T166" i="4" s="1"/>
  <c r="AD170" i="2"/>
  <c r="AD171" i="2" s="1"/>
  <c r="AD172" i="2" s="1"/>
  <c r="G171" i="1"/>
  <c r="G172" i="1" s="1"/>
  <c r="G166" i="1" s="1"/>
  <c r="J166" i="1" s="1"/>
  <c r="E171" i="1"/>
  <c r="E172" i="1" s="1"/>
  <c r="G165" i="1" s="1"/>
  <c r="J170" i="1" s="1"/>
  <c r="AW6" i="1"/>
  <c r="C80" i="1" s="1"/>
  <c r="C228" i="2"/>
  <c r="D228" i="2" s="1"/>
  <c r="E231" i="2" s="1"/>
  <c r="E233" i="2" s="1"/>
  <c r="G228" i="2" s="1"/>
  <c r="J228" i="2" s="1"/>
  <c r="AU227" i="2" s="1"/>
  <c r="AY5" i="2" s="1"/>
  <c r="C230" i="2"/>
  <c r="D231" i="2" s="1"/>
  <c r="D233" i="2" s="1"/>
  <c r="D230" i="2" s="1"/>
  <c r="G230" i="2" s="1"/>
  <c r="J230" i="2" s="1"/>
  <c r="AU229" i="2" s="1"/>
  <c r="AY4" i="2" s="1"/>
  <c r="AW7" i="1"/>
  <c r="C81" i="1" s="1"/>
  <c r="H86" i="4" l="1"/>
  <c r="H87" i="4" s="1"/>
  <c r="J80" i="4" s="1"/>
  <c r="N80" i="4" s="1"/>
  <c r="Q80" i="4" s="1"/>
  <c r="T85" i="4" s="1"/>
  <c r="J86" i="4"/>
  <c r="J87" i="4" s="1"/>
  <c r="J82" i="4" s="1"/>
  <c r="N82" i="4" s="1"/>
  <c r="Q85" i="4" s="1"/>
  <c r="L86" i="4"/>
  <c r="L87" i="4" s="1"/>
  <c r="N79" i="4" s="1"/>
  <c r="Q79" i="4" s="1"/>
  <c r="R85" i="4" s="1"/>
  <c r="N86" i="4"/>
  <c r="N87" i="4" s="1"/>
  <c r="N81" i="4" s="1"/>
  <c r="O85" i="4" s="1"/>
  <c r="R171" i="4"/>
  <c r="R172" i="4" s="1"/>
  <c r="T164" i="4" s="1"/>
  <c r="W164" i="4" s="1"/>
  <c r="T171" i="4"/>
  <c r="T172" i="4" s="1"/>
  <c r="T165" i="4" s="1"/>
  <c r="W170" i="4"/>
  <c r="W166" i="4"/>
  <c r="Z166" i="4" s="1"/>
  <c r="N170" i="1"/>
  <c r="AF171" i="2"/>
  <c r="AF172" i="2" s="1"/>
  <c r="H171" i="1"/>
  <c r="H172" i="1" s="1"/>
  <c r="J164" i="1" s="1"/>
  <c r="J171" i="1"/>
  <c r="J172" i="1" s="1"/>
  <c r="J165" i="1" s="1"/>
  <c r="N165" i="1" s="1"/>
  <c r="O170" i="1" s="1"/>
  <c r="B85" i="1"/>
  <c r="D85" i="1"/>
  <c r="T86" i="4" l="1"/>
  <c r="T87" i="4" s="1"/>
  <c r="T80" i="4" s="1"/>
  <c r="W80" i="4" s="1"/>
  <c r="Z80" i="4" s="1"/>
  <c r="AC80" i="4" s="1"/>
  <c r="AF80" i="4" s="1"/>
  <c r="AU80" i="4" s="1"/>
  <c r="AX6" i="4" s="1"/>
  <c r="Q86" i="4"/>
  <c r="Q87" i="4" s="1"/>
  <c r="Q82" i="4" s="1"/>
  <c r="T82" i="4" s="1"/>
  <c r="W82" i="4" s="1"/>
  <c r="Z82" i="4" s="1"/>
  <c r="AC82" i="4" s="1"/>
  <c r="AF82" i="4" s="1"/>
  <c r="AU82" i="4" s="1"/>
  <c r="AX9" i="4" s="1"/>
  <c r="R86" i="4"/>
  <c r="R87" i="4" s="1"/>
  <c r="T79" i="4" s="1"/>
  <c r="W79" i="4" s="1"/>
  <c r="Z79" i="4" s="1"/>
  <c r="AC79" i="4" s="1"/>
  <c r="AF79" i="4" s="1"/>
  <c r="AU79" i="4" s="1"/>
  <c r="AX3" i="4" s="1"/>
  <c r="O86" i="4"/>
  <c r="O87" i="4" s="1"/>
  <c r="Q81" i="4" s="1"/>
  <c r="T81" i="4" s="1"/>
  <c r="W81" i="4" s="1"/>
  <c r="Z81" i="4" s="1"/>
  <c r="AC81" i="4" s="1"/>
  <c r="AF81" i="4" s="1"/>
  <c r="AU81" i="4" s="1"/>
  <c r="AX7" i="4" s="1"/>
  <c r="U170" i="4"/>
  <c r="W171" i="4" s="1"/>
  <c r="W172" i="4" s="1"/>
  <c r="W165" i="4"/>
  <c r="Z165" i="4" s="1"/>
  <c r="AC165" i="4" s="1"/>
  <c r="X170" i="4"/>
  <c r="Z164" i="4"/>
  <c r="AC164" i="4" s="1"/>
  <c r="AA170" i="4"/>
  <c r="AC166" i="4"/>
  <c r="AF166" i="4" s="1"/>
  <c r="AU166" i="4" s="1"/>
  <c r="AX8" i="4" s="1"/>
  <c r="L170" i="1"/>
  <c r="N171" i="1" s="1"/>
  <c r="N172" i="1" s="1"/>
  <c r="N166" i="1" s="1"/>
  <c r="B86" i="1"/>
  <c r="B87" i="1" s="1"/>
  <c r="D80" i="1" s="1"/>
  <c r="G80" i="1" s="1"/>
  <c r="H85" i="1" s="1"/>
  <c r="D86" i="1"/>
  <c r="D87" i="1" s="1"/>
  <c r="D81" i="1" s="1"/>
  <c r="G81" i="1" s="1"/>
  <c r="J81" i="1" s="1"/>
  <c r="N85" i="1" s="1"/>
  <c r="Y229" i="4" l="1"/>
  <c r="Z229" i="4" s="1"/>
  <c r="AC231" i="4" s="1"/>
  <c r="AC233" i="4" s="1"/>
  <c r="AC229" i="4" s="1"/>
  <c r="AF229" i="4" s="1"/>
  <c r="AU232" i="4" s="1"/>
  <c r="Y227" i="4"/>
  <c r="X231" i="4" s="1"/>
  <c r="X233" i="4" s="1"/>
  <c r="Z227" i="4" s="1"/>
  <c r="AC227" i="4" s="1"/>
  <c r="AD231" i="4" s="1"/>
  <c r="AD233" i="4" s="1"/>
  <c r="AF227" i="4" s="1"/>
  <c r="AU230" i="4" s="1"/>
  <c r="C229" i="4"/>
  <c r="D229" i="4" s="1"/>
  <c r="G231" i="4" s="1"/>
  <c r="G233" i="4" s="1"/>
  <c r="G229" i="4" s="1"/>
  <c r="J229" i="4" s="1"/>
  <c r="AU228" i="4" s="1"/>
  <c r="C227" i="4"/>
  <c r="B231" i="4" s="1"/>
  <c r="B233" i="4" s="1"/>
  <c r="D227" i="4" s="1"/>
  <c r="G227" i="4" s="1"/>
  <c r="J227" i="4" s="1"/>
  <c r="AU226" i="4" s="1"/>
  <c r="X171" i="4"/>
  <c r="X172" i="4" s="1"/>
  <c r="Z171" i="4"/>
  <c r="Z172" i="4" s="1"/>
  <c r="AF170" i="4"/>
  <c r="AF165" i="4"/>
  <c r="AU165" i="4" s="1"/>
  <c r="AX5" i="4" s="1"/>
  <c r="Y228" i="4" s="1"/>
  <c r="Z228" i="4" s="1"/>
  <c r="AA231" i="4" s="1"/>
  <c r="AA233" i="4" s="1"/>
  <c r="AC228" i="4" s="1"/>
  <c r="AF228" i="4" s="1"/>
  <c r="AU231" i="4" s="1"/>
  <c r="AY5" i="4" s="1"/>
  <c r="AD170" i="4"/>
  <c r="AF164" i="4"/>
  <c r="AU164" i="4" s="1"/>
  <c r="AX4" i="4" s="1"/>
  <c r="C230" i="4" s="1"/>
  <c r="D231" i="4" s="1"/>
  <c r="D233" i="4" s="1"/>
  <c r="D230" i="4" s="1"/>
  <c r="G230" i="4" s="1"/>
  <c r="J230" i="4" s="1"/>
  <c r="AU229" i="4" s="1"/>
  <c r="AA171" i="4"/>
  <c r="AA172" i="4" s="1"/>
  <c r="AC171" i="4"/>
  <c r="AC172" i="4" s="1"/>
  <c r="U171" i="4"/>
  <c r="U172" i="4" s="1"/>
  <c r="Q170" i="1"/>
  <c r="L171" i="1"/>
  <c r="L172" i="1" s="1"/>
  <c r="N164" i="1" s="1"/>
  <c r="Q164" i="1" s="1"/>
  <c r="R170" i="1" s="1"/>
  <c r="H86" i="1"/>
  <c r="H87" i="1" s="1"/>
  <c r="J80" i="1" s="1"/>
  <c r="N80" i="1" s="1"/>
  <c r="Q80" i="1" s="1"/>
  <c r="T85" i="1" s="1"/>
  <c r="J86" i="1"/>
  <c r="J87" i="1" s="1"/>
  <c r="J82" i="1" s="1"/>
  <c r="N82" i="1" s="1"/>
  <c r="L86" i="1"/>
  <c r="L87" i="1" s="1"/>
  <c r="N79" i="1" s="1"/>
  <c r="Q79" i="1" s="1"/>
  <c r="N86" i="1"/>
  <c r="N87" i="1" s="1"/>
  <c r="N81" i="1" s="1"/>
  <c r="C228" i="4" l="1"/>
  <c r="D228" i="4" s="1"/>
  <c r="E231" i="4" s="1"/>
  <c r="E233" i="4" s="1"/>
  <c r="G228" i="4" s="1"/>
  <c r="J228" i="4" s="1"/>
  <c r="AU227" i="4" s="1"/>
  <c r="AY8" i="4" s="1"/>
  <c r="AY6" i="4"/>
  <c r="AY3" i="4"/>
  <c r="AY9" i="4"/>
  <c r="AY7" i="4"/>
  <c r="AD171" i="4"/>
  <c r="AD172" i="4" s="1"/>
  <c r="AF171" i="4"/>
  <c r="AF172" i="4" s="1"/>
  <c r="O171" i="1"/>
  <c r="O172" i="1" s="1"/>
  <c r="Q165" i="1" s="1"/>
  <c r="Q171" i="1"/>
  <c r="Q172" i="1" s="1"/>
  <c r="Q166" i="1" s="1"/>
  <c r="T166" i="1" s="1"/>
  <c r="R85" i="1"/>
  <c r="R86" i="1" s="1"/>
  <c r="R87" i="1" s="1"/>
  <c r="T79" i="1" s="1"/>
  <c r="W79" i="1" s="1"/>
  <c r="Z79" i="1" s="1"/>
  <c r="AC79" i="1" s="1"/>
  <c r="AF79" i="1" s="1"/>
  <c r="AU79" i="1" s="1"/>
  <c r="AX3" i="1" s="1"/>
  <c r="Q85" i="1"/>
  <c r="O85" i="1"/>
  <c r="AY4" i="4" l="1"/>
  <c r="T170" i="1"/>
  <c r="W170" i="1"/>
  <c r="W166" i="1"/>
  <c r="Z166" i="1" s="1"/>
  <c r="Y229" i="1"/>
  <c r="Z229" i="1" s="1"/>
  <c r="AC231" i="1" s="1"/>
  <c r="AC233" i="1" s="1"/>
  <c r="AC229" i="1" s="1"/>
  <c r="AF229" i="1" s="1"/>
  <c r="AU232" i="1" s="1"/>
  <c r="T86" i="1"/>
  <c r="T87" i="1" s="1"/>
  <c r="T80" i="1" s="1"/>
  <c r="W80" i="1" s="1"/>
  <c r="Z80" i="1" s="1"/>
  <c r="AC80" i="1" s="1"/>
  <c r="AF80" i="1" s="1"/>
  <c r="AU80" i="1" s="1"/>
  <c r="AX6" i="1" s="1"/>
  <c r="O86" i="1"/>
  <c r="O87" i="1" s="1"/>
  <c r="Q81" i="1" s="1"/>
  <c r="T81" i="1" s="1"/>
  <c r="W81" i="1" s="1"/>
  <c r="Z81" i="1" s="1"/>
  <c r="AC81" i="1" s="1"/>
  <c r="AF81" i="1" s="1"/>
  <c r="AU81" i="1" s="1"/>
  <c r="AX7" i="1" s="1"/>
  <c r="Q86" i="1"/>
  <c r="Q87" i="1" s="1"/>
  <c r="Q82" i="1" s="1"/>
  <c r="T82" i="1" s="1"/>
  <c r="W82" i="1" s="1"/>
  <c r="Z82" i="1" s="1"/>
  <c r="AC82" i="1" s="1"/>
  <c r="AF82" i="1" s="1"/>
  <c r="AU82" i="1" s="1"/>
  <c r="AX9" i="1" s="1"/>
  <c r="AC166" i="1" l="1"/>
  <c r="AF166" i="1" s="1"/>
  <c r="AU166" i="1" s="1"/>
  <c r="AX8" i="1" s="1"/>
  <c r="AA170" i="1"/>
  <c r="T171" i="1"/>
  <c r="T172" i="1" s="1"/>
  <c r="T165" i="1" s="1"/>
  <c r="U170" i="1" s="1"/>
  <c r="R171" i="1"/>
  <c r="R172" i="1" s="1"/>
  <c r="T164" i="1" s="1"/>
  <c r="W164" i="1" s="1"/>
  <c r="C229" i="1"/>
  <c r="D229" i="1" s="1"/>
  <c r="G231" i="1" s="1"/>
  <c r="G233" i="1" s="1"/>
  <c r="G229" i="1" s="1"/>
  <c r="J229" i="1" s="1"/>
  <c r="AU228" i="1" s="1"/>
  <c r="AY9" i="1" s="1"/>
  <c r="Y227" i="1"/>
  <c r="X231" i="1" s="1"/>
  <c r="X233" i="1" s="1"/>
  <c r="Z227" i="1" s="1"/>
  <c r="AC227" i="1" s="1"/>
  <c r="AD231" i="1" s="1"/>
  <c r="AD233" i="1" s="1"/>
  <c r="AF227" i="1" s="1"/>
  <c r="AU230" i="1" s="1"/>
  <c r="AY7" i="1" s="1"/>
  <c r="C227" i="1"/>
  <c r="B231" i="1" s="1"/>
  <c r="B233" i="1" s="1"/>
  <c r="D227" i="1" s="1"/>
  <c r="G227" i="1" s="1"/>
  <c r="J227" i="1" s="1"/>
  <c r="AU226" i="1" s="1"/>
  <c r="AY6" i="1" s="1"/>
  <c r="AY3" i="1"/>
  <c r="C228" i="1" l="1"/>
  <c r="D228" i="1" s="1"/>
  <c r="E231" i="1" s="1"/>
  <c r="E233" i="1" s="1"/>
  <c r="G228" i="1" s="1"/>
  <c r="J228" i="1" s="1"/>
  <c r="AU227" i="1" s="1"/>
  <c r="AY8" i="1" s="1"/>
  <c r="U171" i="1"/>
  <c r="U172" i="1" s="1"/>
  <c r="W171" i="1"/>
  <c r="W172" i="1" s="1"/>
  <c r="W165" i="1"/>
  <c r="Z165" i="1" s="1"/>
  <c r="AC165" i="1" s="1"/>
  <c r="AF165" i="1" s="1"/>
  <c r="AU165" i="1" s="1"/>
  <c r="AX5" i="1" s="1"/>
  <c r="Y228" i="1" s="1"/>
  <c r="Z228" i="1" s="1"/>
  <c r="AA231" i="1" s="1"/>
  <c r="AA233" i="1" s="1"/>
  <c r="AC228" i="1" s="1"/>
  <c r="AF228" i="1" s="1"/>
  <c r="AU231" i="1" s="1"/>
  <c r="AY5" i="1" s="1"/>
  <c r="Z164" i="1"/>
  <c r="AC164" i="1" s="1"/>
  <c r="X170" i="1"/>
  <c r="AC171" i="1"/>
  <c r="AC172" i="1" s="1"/>
  <c r="AA171" i="1"/>
  <c r="AA172" i="1" s="1"/>
  <c r="AF170" i="1" l="1"/>
  <c r="AD170" i="1"/>
  <c r="AF164" i="1"/>
  <c r="AU164" i="1" s="1"/>
  <c r="AX4" i="1" s="1"/>
  <c r="Z171" i="1"/>
  <c r="Z172" i="1" s="1"/>
  <c r="X171" i="1"/>
  <c r="X172" i="1" s="1"/>
  <c r="AF171" i="1" l="1"/>
  <c r="AF172" i="1" s="1"/>
  <c r="AD171" i="1"/>
  <c r="AD172" i="1" s="1"/>
  <c r="C230" i="1"/>
  <c r="D231" i="1" s="1"/>
  <c r="D233" i="1" s="1"/>
  <c r="D230" i="1" s="1"/>
  <c r="G230" i="1" s="1"/>
  <c r="J230" i="1" s="1"/>
  <c r="AU229" i="1" s="1"/>
  <c r="AY4" i="1" s="1"/>
  <c r="C99" i="9" l="1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D142" i="9"/>
  <c r="D143" i="9"/>
  <c r="D144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D247" i="9"/>
  <c r="D248" i="9"/>
  <c r="C143" i="9"/>
  <c r="C144" i="9"/>
  <c r="C248" i="9"/>
  <c r="C249" i="9"/>
  <c r="C250" i="9"/>
  <c r="C251" i="9"/>
  <c r="C252" i="9"/>
  <c r="C253" i="9"/>
  <c r="C254" i="9"/>
  <c r="C255" i="9"/>
  <c r="C256" i="9"/>
  <c r="D256" i="9"/>
  <c r="C145" i="9"/>
  <c r="C146" i="9"/>
  <c r="C147" i="9"/>
  <c r="D146" i="9"/>
  <c r="C148" i="9"/>
  <c r="C149" i="9"/>
  <c r="C150" i="9"/>
  <c r="C151" i="9"/>
  <c r="C152" i="9"/>
  <c r="C153" i="9"/>
  <c r="D152" i="9"/>
  <c r="C154" i="9"/>
  <c r="C155" i="9"/>
  <c r="C156" i="9"/>
  <c r="C157" i="9"/>
  <c r="D157" i="9"/>
  <c r="D250" i="9"/>
  <c r="D251" i="9"/>
  <c r="D140" i="9"/>
  <c r="D145" i="9"/>
  <c r="D252" i="9"/>
  <c r="D156" i="9"/>
  <c r="D253" i="9"/>
  <c r="D255" i="9"/>
  <c r="D154" i="9"/>
  <c r="D155" i="9"/>
  <c r="D249" i="9"/>
  <c r="D254" i="9"/>
  <c r="D151" i="9"/>
  <c r="D153" i="9"/>
  <c r="D138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D40" i="9"/>
  <c r="D41" i="9"/>
  <c r="D42" i="9"/>
  <c r="D43" i="9"/>
  <c r="D44" i="9"/>
  <c r="D45" i="9"/>
  <c r="D46" i="9"/>
  <c r="D47" i="9"/>
  <c r="D48" i="9"/>
  <c r="D49" i="9"/>
  <c r="D50" i="9"/>
  <c r="D129" i="9"/>
  <c r="D137" i="9"/>
  <c r="C41" i="9"/>
  <c r="C42" i="9"/>
  <c r="C43" i="9"/>
  <c r="C44" i="9"/>
  <c r="C45" i="9"/>
  <c r="C46" i="9"/>
  <c r="C47" i="9"/>
  <c r="C48" i="9"/>
  <c r="C49" i="9"/>
  <c r="C50" i="9"/>
  <c r="C51" i="9"/>
  <c r="C52" i="9"/>
  <c r="D244" i="9"/>
  <c r="D243" i="9"/>
  <c r="D150" i="9"/>
  <c r="D246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D201" i="9"/>
  <c r="C202" i="9"/>
  <c r="D128" i="9"/>
  <c r="C53" i="9"/>
  <c r="C54" i="9"/>
  <c r="D54" i="9"/>
  <c r="D149" i="9"/>
  <c r="D245" i="9"/>
  <c r="D200" i="9"/>
  <c r="C203" i="9"/>
  <c r="C204" i="9"/>
  <c r="C205" i="9"/>
  <c r="C206" i="9"/>
  <c r="D206" i="9"/>
  <c r="D136" i="9"/>
  <c r="D242" i="9"/>
  <c r="C55" i="9"/>
  <c r="D190" i="9"/>
  <c r="D205" i="9"/>
  <c r="D139" i="9"/>
  <c r="D141" i="9"/>
  <c r="D204" i="9"/>
  <c r="D39" i="9"/>
  <c r="D53" i="9"/>
  <c r="D241" i="9"/>
  <c r="D240" i="9"/>
  <c r="D148" i="9"/>
  <c r="D52" i="9"/>
  <c r="D203" i="9"/>
  <c r="D202" i="9"/>
  <c r="D236" i="9"/>
  <c r="D147" i="9"/>
  <c r="D127" i="9"/>
  <c r="D194" i="9"/>
  <c r="D135" i="9"/>
  <c r="D126" i="9"/>
  <c r="D193" i="9"/>
  <c r="D22" i="9"/>
  <c r="D23" i="9"/>
  <c r="D24" i="9"/>
  <c r="D25" i="9"/>
  <c r="D132" i="9"/>
  <c r="D197" i="9"/>
  <c r="D35" i="9"/>
  <c r="D196" i="9"/>
  <c r="D199" i="9"/>
  <c r="D237" i="9"/>
  <c r="D235" i="9"/>
  <c r="D131" i="9"/>
  <c r="D198" i="9"/>
  <c r="D130" i="9"/>
  <c r="D192" i="9"/>
  <c r="D230" i="9"/>
  <c r="D234" i="9"/>
  <c r="D125" i="9"/>
  <c r="D134" i="9"/>
  <c r="D36" i="9"/>
  <c r="D37" i="9"/>
  <c r="D191" i="9"/>
  <c r="D233" i="9"/>
  <c r="D133" i="9"/>
  <c r="D186" i="9"/>
  <c r="D187" i="9"/>
  <c r="D189" i="9"/>
  <c r="D120" i="9"/>
  <c r="D211" i="9"/>
  <c r="D188" i="9"/>
  <c r="D124" i="9"/>
  <c r="D123" i="9"/>
  <c r="D178" i="9"/>
  <c r="D212" i="9"/>
  <c r="D213" i="9"/>
  <c r="D214" i="9"/>
  <c r="D215" i="9"/>
  <c r="D216" i="9"/>
  <c r="D217" i="9"/>
  <c r="D119" i="9"/>
  <c r="D163" i="9"/>
  <c r="D219" i="9"/>
  <c r="D114" i="9"/>
  <c r="D29" i="9"/>
  <c r="D167" i="9"/>
  <c r="D168" i="9"/>
  <c r="D169" i="9"/>
  <c r="D170" i="9"/>
  <c r="D171" i="9"/>
  <c r="D172" i="9"/>
  <c r="D173" i="9"/>
  <c r="D174" i="9"/>
  <c r="D175" i="9"/>
  <c r="D18" i="9"/>
  <c r="D28" i="9"/>
  <c r="D99" i="9"/>
  <c r="D20" i="9"/>
  <c r="D17" i="9"/>
  <c r="D19" i="9"/>
  <c r="D34" i="9"/>
  <c r="D106" i="9"/>
  <c r="D107" i="9"/>
  <c r="D108" i="9"/>
  <c r="D109" i="9"/>
  <c r="D110" i="9"/>
  <c r="D111" i="9"/>
  <c r="D112" i="9"/>
  <c r="D113" i="9"/>
  <c r="D227" i="9"/>
  <c r="C264" i="9"/>
  <c r="C265" i="9"/>
  <c r="C266" i="9"/>
  <c r="C267" i="9"/>
  <c r="C268" i="9"/>
  <c r="C269" i="9"/>
  <c r="C270" i="9"/>
  <c r="C271" i="9"/>
  <c r="D270" i="9"/>
  <c r="D33" i="9"/>
  <c r="D32" i="9"/>
  <c r="D269" i="9"/>
  <c r="D229" i="9"/>
  <c r="D268" i="9"/>
  <c r="D226" i="9"/>
  <c r="D118" i="9"/>
  <c r="D228" i="9"/>
  <c r="D21" i="9"/>
  <c r="D267" i="9"/>
  <c r="D225" i="9"/>
  <c r="D117" i="9"/>
  <c r="D222" i="9"/>
  <c r="D182" i="9"/>
  <c r="D101" i="9"/>
  <c r="D31" i="9"/>
  <c r="D185" i="9"/>
  <c r="D27" i="9"/>
  <c r="D183" i="9"/>
  <c r="D30" i="9"/>
  <c r="D224" i="9"/>
  <c r="D100" i="9"/>
  <c r="D26" i="9"/>
  <c r="D16" i="9"/>
  <c r="D176" i="9"/>
  <c r="D223" i="9"/>
  <c r="D184" i="9"/>
  <c r="D15" i="9"/>
  <c r="D239" i="9"/>
  <c r="D103" i="9"/>
  <c r="D102" i="9"/>
  <c r="D122" i="9"/>
  <c r="D179" i="9"/>
  <c r="D238" i="9"/>
  <c r="D121" i="9"/>
  <c r="D165" i="9"/>
  <c r="D105" i="9"/>
  <c r="D164" i="9"/>
  <c r="D232" i="9"/>
  <c r="D177" i="9"/>
  <c r="C272" i="9"/>
  <c r="C273" i="9"/>
  <c r="D273" i="9"/>
  <c r="C274" i="9"/>
  <c r="D181" i="9"/>
  <c r="D104" i="9"/>
  <c r="C275" i="9"/>
  <c r="C276" i="9"/>
  <c r="D276" i="9"/>
  <c r="D180" i="9"/>
  <c r="D274" i="9"/>
  <c r="D231" i="9"/>
  <c r="D266" i="9"/>
  <c r="D210" i="9"/>
  <c r="D221" i="9"/>
  <c r="D115" i="9"/>
  <c r="D272" i="9"/>
  <c r="D220" i="9"/>
  <c r="D275" i="9"/>
  <c r="D271" i="9"/>
  <c r="D166" i="9"/>
  <c r="D264" i="9"/>
  <c r="C56" i="9"/>
  <c r="C57" i="9"/>
  <c r="D57" i="9"/>
  <c r="D55" i="9"/>
  <c r="D56" i="9"/>
  <c r="C58" i="9"/>
  <c r="C59" i="9"/>
  <c r="D58" i="9"/>
  <c r="D265" i="9"/>
  <c r="D218" i="9"/>
  <c r="D59" i="9"/>
  <c r="D116" i="9"/>
  <c r="D38" i="9"/>
  <c r="D51" i="9"/>
  <c r="D195" i="9"/>
</calcChain>
</file>

<file path=xl/sharedStrings.xml><?xml version="1.0" encoding="utf-8"?>
<sst xmlns="http://schemas.openxmlformats.org/spreadsheetml/2006/main" count="5007" uniqueCount="1080">
  <si>
    <t>copywrited program: May not be used or reproduced without the consent of Chip Moseley</t>
  </si>
  <si>
    <t>Version : 5</t>
  </si>
  <si>
    <t>Seeding</t>
  </si>
  <si>
    <t>Final Ranking</t>
  </si>
  <si>
    <t xml:space="preserve">Pool Ranking Multiplier = </t>
  </si>
  <si>
    <t>Tournament Name</t>
  </si>
  <si>
    <t>Date</t>
  </si>
  <si>
    <t>#</t>
  </si>
  <si>
    <t>Team Name</t>
  </si>
  <si>
    <t>Team Code</t>
  </si>
  <si>
    <t>Initial Ranking</t>
  </si>
  <si>
    <t>Pool Play</t>
  </si>
  <si>
    <t>Finals</t>
  </si>
  <si>
    <t xml:space="preserve">Playoff Ranking Multiplier = </t>
  </si>
  <si>
    <t>Site:</t>
  </si>
  <si>
    <t>Age</t>
  </si>
  <si>
    <t>Division</t>
  </si>
  <si>
    <t>Club</t>
  </si>
  <si>
    <t>Power</t>
  </si>
  <si>
    <t>Gym Supervisor</t>
  </si>
  <si>
    <t xml:space="preserve">Supr Cell #: </t>
  </si>
  <si>
    <t xml:space="preserve"> </t>
  </si>
  <si>
    <t>POOL:</t>
  </si>
  <si>
    <t>A</t>
  </si>
  <si>
    <t>COURT:</t>
  </si>
  <si>
    <t>Team #</t>
  </si>
  <si>
    <t>Total Pool Net Points</t>
  </si>
  <si>
    <t>% Total
Net Points</t>
  </si>
  <si>
    <t>Game Win %</t>
  </si>
  <si>
    <t>Pool Finish</t>
  </si>
  <si>
    <t>Playoff Finish</t>
  </si>
  <si>
    <t>Games per Match (1-5)</t>
  </si>
  <si>
    <t>Matches (1-10)</t>
  </si>
  <si>
    <t>Teams in Pool (1-5)</t>
  </si>
  <si>
    <t>0-Count Games 1-Count Matches</t>
  </si>
  <si>
    <t>Game Win % 0 = No  1 = Yes</t>
  </si>
  <si>
    <t># of Matches/Games per Team</t>
  </si>
  <si>
    <t>Warning -- Do not use CUT/PASTE to move teams in table.  Only use COPY/PASTE or seeded cells will be corrupted.</t>
  </si>
  <si>
    <t>POOL PLAY FORMAT: Best of 3 (25-25-15) 2 pt cap</t>
  </si>
  <si>
    <t>Sch Start</t>
  </si>
  <si>
    <t>Note: The Pool Finish Summary at the bottom of the sheet will fill in AUTOMATICALLY once the POOL FINISH column (at left) is filled in.</t>
  </si>
  <si>
    <t>Actual Start</t>
  </si>
  <si>
    <t>End Time</t>
  </si>
  <si>
    <t>Match 1</t>
  </si>
  <si>
    <t>1 refs</t>
  </si>
  <si>
    <t>2 refs</t>
  </si>
  <si>
    <t>3 refs</t>
  </si>
  <si>
    <t>4 refs</t>
  </si>
  <si>
    <t>Net Points</t>
  </si>
  <si>
    <t>Total</t>
  </si>
  <si>
    <t>v</t>
  </si>
  <si>
    <t>Game 1</t>
  </si>
  <si>
    <t>/</t>
  </si>
  <si>
    <t>Gm1 Win</t>
  </si>
  <si>
    <t>Gm2 Win</t>
  </si>
  <si>
    <t>Gm3 Win</t>
  </si>
  <si>
    <t>Gm4 Win</t>
  </si>
  <si>
    <t>Gm5 Win</t>
  </si>
  <si>
    <t>Sum Game Win/Loss</t>
  </si>
  <si>
    <t>Match Won/Lost</t>
  </si>
  <si>
    <t>Gm1 Pts</t>
  </si>
  <si>
    <t>Gm2 Pts</t>
  </si>
  <si>
    <t>Gm3 Pts</t>
  </si>
  <si>
    <t>Gm4 Pts</t>
  </si>
  <si>
    <t>Gm5 Pts</t>
  </si>
  <si>
    <t>Sum Match Points</t>
  </si>
  <si>
    <t>Matches</t>
  </si>
  <si>
    <t>Match Wins by Team</t>
  </si>
  <si>
    <t>Match Losses by Team</t>
  </si>
  <si>
    <t>Tm1 Wins</t>
  </si>
  <si>
    <t>Tm2 Wins</t>
  </si>
  <si>
    <t>Tm3 Wins</t>
  </si>
  <si>
    <t>Tm4 Wins</t>
  </si>
  <si>
    <t>Tm5 Wins</t>
  </si>
  <si>
    <t>Matches played by team</t>
  </si>
  <si>
    <t>Tm1 Play</t>
  </si>
  <si>
    <t>Tm2 Play</t>
  </si>
  <si>
    <t>Tm3 Play</t>
  </si>
  <si>
    <t>Tm4 Play</t>
  </si>
  <si>
    <t>Tm5 Play</t>
  </si>
  <si>
    <t>Total Points played by team</t>
  </si>
  <si>
    <t>Games</t>
  </si>
  <si>
    <t>Game Wins by Team</t>
  </si>
  <si>
    <t>Game Losses by Team</t>
  </si>
  <si>
    <t>Games Played this Match</t>
  </si>
  <si>
    <t>Games played by team</t>
  </si>
  <si>
    <t>Init</t>
  </si>
  <si>
    <t>End of Pool</t>
  </si>
  <si>
    <t>Init Rating</t>
  </si>
  <si>
    <t>Exp wins</t>
  </si>
  <si>
    <t>New Rating</t>
  </si>
  <si>
    <t>B</t>
  </si>
  <si>
    <t>30 Minute Break</t>
  </si>
  <si>
    <t>5  refs</t>
  </si>
  <si>
    <t>POOL FINISH SUMMARY</t>
  </si>
  <si>
    <t>Enter Pool Name</t>
  </si>
  <si>
    <t>First</t>
  </si>
  <si>
    <t>Second</t>
  </si>
  <si>
    <t>Third</t>
  </si>
  <si>
    <t>Fourth</t>
  </si>
  <si>
    <t>Code</t>
  </si>
  <si>
    <t>Court 1</t>
  </si>
  <si>
    <t>Court 2</t>
  </si>
  <si>
    <t>TOURNAMENT PLAYOFF</t>
  </si>
  <si>
    <r>
      <t xml:space="preserve">Playoff Format : All teams </t>
    </r>
    <r>
      <rPr>
        <sz val="10"/>
        <rFont val="Arial"/>
        <family val="2"/>
      </rPr>
      <t>Before 4pm 25-25-15 start at 4.  If after 4pm, semi's 1 game to 25, finals 25-25-15 start at 4- no cap.  Warmups 3-3-1</t>
    </r>
  </si>
  <si>
    <t>Record each teams name and 11 digit code</t>
  </si>
  <si>
    <t>GOLD DIVISION</t>
  </si>
  <si>
    <t>SILVER DIVISION</t>
  </si>
  <si>
    <t>1st Place  Crt 1</t>
  </si>
  <si>
    <t>Loser is 3rd place</t>
  </si>
  <si>
    <t>2nd Place Crt 2</t>
  </si>
  <si>
    <t>Loser M2 refs</t>
  </si>
  <si>
    <t>Loser is 2nd place</t>
  </si>
  <si>
    <t xml:space="preserve"> Gold Champ 1st place</t>
  </si>
  <si>
    <t>Loser is 6th place</t>
  </si>
  <si>
    <t xml:space="preserve"> Silver Champ 5th place</t>
  </si>
  <si>
    <t>1st Place Crt 2</t>
  </si>
  <si>
    <t>3rd Place Crt 2</t>
  </si>
  <si>
    <t>Winner M1 refs</t>
  </si>
  <si>
    <t>Loser is 7th place</t>
  </si>
  <si>
    <t>2nd Place Crt 1</t>
  </si>
  <si>
    <t>4th Place Crt 1</t>
  </si>
  <si>
    <t>GOLD DIVISION PLAYOFFS</t>
  </si>
  <si>
    <t>SILVER DIVISION PLAYOFFS</t>
  </si>
  <si>
    <t>TEAM</t>
  </si>
  <si>
    <t>Enter Playoff Team Names</t>
  </si>
  <si>
    <t>Enter Playoff Team Codes</t>
  </si>
  <si>
    <t>BYE</t>
  </si>
  <si>
    <t>Semi Final</t>
  </si>
  <si>
    <t>Offic. Team</t>
  </si>
  <si>
    <t>Win M1</t>
  </si>
  <si>
    <t>Loser M2</t>
  </si>
  <si>
    <t>Match 2</t>
  </si>
  <si>
    <t>Match 3</t>
  </si>
  <si>
    <t>Winner</t>
  </si>
  <si>
    <t>Game 2</t>
  </si>
  <si>
    <t>Game 3</t>
  </si>
  <si>
    <t>M1</t>
  </si>
  <si>
    <t>M2</t>
  </si>
  <si>
    <t>M3</t>
  </si>
  <si>
    <t>If match is a BYE enter B for opponent</t>
  </si>
  <si>
    <t>Intense kids power col</t>
  </si>
  <si>
    <t>fj2inten3pm</t>
  </si>
  <si>
    <t>SC Midlands KP White</t>
  </si>
  <si>
    <t>fj2scmid2pm</t>
  </si>
  <si>
    <t>SC Midlands KP Boys</t>
  </si>
  <si>
    <t>fj2scmid3pm</t>
  </si>
  <si>
    <t>MOTO 12'1</t>
  </si>
  <si>
    <t>fj1motoj1pm</t>
  </si>
  <si>
    <t>C1VB Juniors Royal</t>
  </si>
  <si>
    <t>fj2crone7pm</t>
  </si>
  <si>
    <t>C1VB Juniors Grey</t>
  </si>
  <si>
    <t>fj2crone8pm</t>
  </si>
  <si>
    <t>Foothills Vanessa</t>
  </si>
  <si>
    <t>fj2footh2pm</t>
  </si>
  <si>
    <t>Kershaw Dev 12 Black</t>
  </si>
  <si>
    <t>fj2kersh4pm</t>
  </si>
  <si>
    <t>Intense Kids power Gvl</t>
  </si>
  <si>
    <t>fj2inten2pm</t>
  </si>
  <si>
    <t>SC Midlands KP Black</t>
  </si>
  <si>
    <t>fj1scmid1pm</t>
  </si>
  <si>
    <t>SC Midlands KP Garnet</t>
  </si>
  <si>
    <t>fj1scmid2pm</t>
  </si>
  <si>
    <t>SC Midlands KP Silver</t>
  </si>
  <si>
    <t>fj1scmid4pm</t>
  </si>
  <si>
    <t>Columbia SC Starlings 12</t>
  </si>
  <si>
    <t>fj2starl1pm</t>
  </si>
  <si>
    <t>Foothills Skylar</t>
  </si>
  <si>
    <t>fj2footh3pm</t>
  </si>
  <si>
    <t>Entries</t>
  </si>
  <si>
    <t>R</t>
  </si>
  <si>
    <t>Rank</t>
  </si>
  <si>
    <t>Region</t>
  </si>
  <si>
    <t>Team cod</t>
  </si>
  <si>
    <t>Club name</t>
  </si>
  <si>
    <t>Level</t>
  </si>
  <si>
    <t>Current Rating</t>
  </si>
  <si>
    <t>1/6/18
Rating</t>
  </si>
  <si>
    <t>1/13/18
Rating</t>
  </si>
  <si>
    <t>1/20/18
Rating</t>
  </si>
  <si>
    <t>1/27/18
Rating</t>
  </si>
  <si>
    <t>2/3/18
Rating</t>
  </si>
  <si>
    <t>2/10/18
Rating</t>
  </si>
  <si>
    <t>2/17/18
Rating</t>
  </si>
  <si>
    <t>2/24/18
Rating</t>
  </si>
  <si>
    <t>3/3/18
 Rating</t>
  </si>
  <si>
    <t>3/10/18
Rating</t>
  </si>
  <si>
    <t>3/17/18
Rating</t>
  </si>
  <si>
    <t>3/24/18
Rating</t>
  </si>
  <si>
    <t>3/31/18
Rating</t>
  </si>
  <si>
    <t>4/7/16
Rating</t>
  </si>
  <si>
    <t>fj1mvpjc1pm</t>
  </si>
  <si>
    <t>MVP</t>
  </si>
  <si>
    <t>MVP 11-Gold</t>
  </si>
  <si>
    <t>fj1mvpjc2pm</t>
  </si>
  <si>
    <t>MVP 11-Black</t>
  </si>
  <si>
    <t>fj1unsel2cr</t>
  </si>
  <si>
    <t>Union Select Academy</t>
  </si>
  <si>
    <t>USA 12's Purple</t>
  </si>
  <si>
    <t>fj1mtnel1pm</t>
  </si>
  <si>
    <t>Mountain Elite Volleyball Club</t>
  </si>
  <si>
    <t>MEVCDevSteph</t>
  </si>
  <si>
    <t>fj1biltm1cr</t>
  </si>
  <si>
    <t>Biltmore Volleyball Academy</t>
  </si>
  <si>
    <t>BVA 11</t>
  </si>
  <si>
    <t>fj2caris1pm</t>
  </si>
  <si>
    <t>Carolina Islanders</t>
  </si>
  <si>
    <t>Car. Islanders 12 Elite</t>
  </si>
  <si>
    <t>fj2mtnel1pm</t>
  </si>
  <si>
    <t>MEVC12Kenny</t>
  </si>
  <si>
    <t>fj2mvpjc1pm</t>
  </si>
  <si>
    <t>MVP 12-Gold</t>
  </si>
  <si>
    <t>fj2mvpjc2pm</t>
  </si>
  <si>
    <t>MVP 12-Black</t>
  </si>
  <si>
    <t>fj2pstri2pm</t>
  </si>
  <si>
    <t>Palmetto Strikers Volleyball Club</t>
  </si>
  <si>
    <t>PSVC 12 Brett</t>
  </si>
  <si>
    <t>fj2slegy1pm</t>
  </si>
  <si>
    <t>Southern Legacy Volleyball</t>
  </si>
  <si>
    <t>Southern Legacy 12-1</t>
  </si>
  <si>
    <t>fj2vison1pm</t>
  </si>
  <si>
    <t>Vision Volleyball Academy</t>
  </si>
  <si>
    <t>Vision 12</t>
  </si>
  <si>
    <t>fj2inten1pm</t>
  </si>
  <si>
    <t>Intense Volleyball</t>
  </si>
  <si>
    <t>Ivc 12 Perf Adidas Janet</t>
  </si>
  <si>
    <t>fj2upwrd1pm</t>
  </si>
  <si>
    <t>Upward Stars</t>
  </si>
  <si>
    <t>Upward Stars 12 Angie</t>
  </si>
  <si>
    <t>fj2pstri1pm</t>
  </si>
  <si>
    <t>PSVC 12 Mary Jo</t>
  </si>
  <si>
    <t>fj2pstri3pm</t>
  </si>
  <si>
    <t>PSVC 12 Christie</t>
  </si>
  <si>
    <t>fj2pstri4pm</t>
  </si>
  <si>
    <t>PSVC 11/12 Megan</t>
  </si>
  <si>
    <t>Intense 12 Region Jacob</t>
  </si>
  <si>
    <t>fj2axise3pm</t>
  </si>
  <si>
    <t>Axis Elite Volleyball Academy</t>
  </si>
  <si>
    <t>Axis 12 NT Gold Adidas</t>
  </si>
  <si>
    <t>fj2bbear1pm</t>
  </si>
  <si>
    <t>Black Bears</t>
  </si>
  <si>
    <t>Black Bears 12</t>
  </si>
  <si>
    <t>fj2crone1pm</t>
  </si>
  <si>
    <t>Carolina One</t>
  </si>
  <si>
    <t>C1VB 12 Regional Grvl</t>
  </si>
  <si>
    <t>fj2crone2pm</t>
  </si>
  <si>
    <t>C1VB 12 Regional Pickens</t>
  </si>
  <si>
    <t>fj2crone3pm</t>
  </si>
  <si>
    <t>C1VB 12 State Grvl</t>
  </si>
  <si>
    <t>fj2celitapm</t>
  </si>
  <si>
    <t>Charleston Elite</t>
  </si>
  <si>
    <t>CHSElite 12</t>
  </si>
  <si>
    <t>fj2clubs1pm</t>
  </si>
  <si>
    <t>Club South NS</t>
  </si>
  <si>
    <t>CSNS 12-1</t>
  </si>
  <si>
    <t>fj2crosf1pm</t>
  </si>
  <si>
    <t>Crossfire Volleyball</t>
  </si>
  <si>
    <t>Crossfire 12 George</t>
  </si>
  <si>
    <t>fj2crosf2pm</t>
  </si>
  <si>
    <t>Crossfire 12 Kaitlyn</t>
  </si>
  <si>
    <t>fj2csrah1pm</t>
  </si>
  <si>
    <t>CSRA Heat</t>
  </si>
  <si>
    <t>CSRA Heat 12 Gold</t>
  </si>
  <si>
    <t>fj2ecity1pm</t>
  </si>
  <si>
    <t>Emerald City Juniors</t>
  </si>
  <si>
    <t>Emerald City 12-1</t>
  </si>
  <si>
    <t>fj2footh1pm</t>
  </si>
  <si>
    <t>Foothills Volleyball Club</t>
  </si>
  <si>
    <t>Foothills 12 Liam</t>
  </si>
  <si>
    <t>fj2grand2pm</t>
  </si>
  <si>
    <t>GRAND STRAND JUNIORS VOLLEYBALL</t>
  </si>
  <si>
    <t>GSJ 12 Brittany</t>
  </si>
  <si>
    <t>fj2kersh1pm</t>
  </si>
  <si>
    <t>Kershaw County Juniors</t>
  </si>
  <si>
    <t>Kershaw 12 Black</t>
  </si>
  <si>
    <t>fj2kersh2pm</t>
  </si>
  <si>
    <t>Kershaw 12 White</t>
  </si>
  <si>
    <t>fj2lakem1pm</t>
  </si>
  <si>
    <t>Lake Murray Volleyball Club</t>
  </si>
  <si>
    <t>Lake Murray 12 Reg Black</t>
  </si>
  <si>
    <t>fj2mtnel2pm</t>
  </si>
  <si>
    <t>MEVC12Josie</t>
  </si>
  <si>
    <t>fj2srsvc1pm</t>
  </si>
  <si>
    <t>Savannah River Select</t>
  </si>
  <si>
    <t>SRS 12 Blue</t>
  </si>
  <si>
    <t>fj2srsvc2pm</t>
  </si>
  <si>
    <t>SRS 12 Red</t>
  </si>
  <si>
    <t>fj2scmid1pm</t>
  </si>
  <si>
    <t>SC Midlands Volleyball</t>
  </si>
  <si>
    <t>SC Midlands 12 Black</t>
  </si>
  <si>
    <t>fj2scmid4pm</t>
  </si>
  <si>
    <t>SC Midlands 12U Boys</t>
  </si>
  <si>
    <t>fj2slegy2pm</t>
  </si>
  <si>
    <t>Southern Legacy 12-2</t>
  </si>
  <si>
    <t>fj2upwrd2pm</t>
  </si>
  <si>
    <t>Upward Stars 12 Candi</t>
  </si>
  <si>
    <t>fj2clebl1cr</t>
  </si>
  <si>
    <t>Cleveland County Blitz VBC</t>
  </si>
  <si>
    <t>Blitz 12U</t>
  </si>
  <si>
    <t>fj2biltm1cr</t>
  </si>
  <si>
    <t>BVA 12 Black</t>
  </si>
  <si>
    <t>fj2galxy1cr</t>
  </si>
  <si>
    <t>Gaston Galaxy</t>
  </si>
  <si>
    <t>Gaston Galaxy U12</t>
  </si>
  <si>
    <t>fj2mbeac1pm</t>
  </si>
  <si>
    <t>Myrtle Beach Volleyball Club</t>
  </si>
  <si>
    <t>12U Elite Karla</t>
  </si>
  <si>
    <t>fj2crone4pm</t>
  </si>
  <si>
    <t>C1VB Juniors Blue</t>
  </si>
  <si>
    <t>fj2crone5pm</t>
  </si>
  <si>
    <t>C1VB Juniors Red</t>
  </si>
  <si>
    <t>fj2crone6pm</t>
  </si>
  <si>
    <t>C1VB Juniors Yellow</t>
  </si>
  <si>
    <t>fj2crosf3pm</t>
  </si>
  <si>
    <t>Crossfire 12 Jrs</t>
  </si>
  <si>
    <t>fj2ecity3pm</t>
  </si>
  <si>
    <t>Emerald City 12-Develop</t>
  </si>
  <si>
    <t>fj2excel3pm</t>
  </si>
  <si>
    <t>Excell Sports</t>
  </si>
  <si>
    <t>Excell Palmetto State 12</t>
  </si>
  <si>
    <t>Foothills 12 Kim</t>
  </si>
  <si>
    <t>fj2footh4pm</t>
  </si>
  <si>
    <t>Foothills 12 Cait</t>
  </si>
  <si>
    <t>fj2kersh3pm</t>
  </si>
  <si>
    <t>Kershaw Dev 12 White</t>
  </si>
  <si>
    <t>fj2kersh5pm</t>
  </si>
  <si>
    <t>Kershaw Dev 12 Blue</t>
  </si>
  <si>
    <t>fj2kvcjr1pm</t>
  </si>
  <si>
    <t>KVC Jrs</t>
  </si>
  <si>
    <t>KVC 12 Dev</t>
  </si>
  <si>
    <t>fj2ladyc1pm</t>
  </si>
  <si>
    <t>Orangeburg Lady Cubs</t>
  </si>
  <si>
    <t>OLC 12s Purple</t>
  </si>
  <si>
    <t>fj2scwea1pm</t>
  </si>
  <si>
    <t>SC War Eagles</t>
  </si>
  <si>
    <t>SCWE12FLYERS</t>
  </si>
  <si>
    <t>fj2unsel3cr</t>
  </si>
  <si>
    <t>USA 12's Pink</t>
  </si>
  <si>
    <t>fj3csrah1pm</t>
  </si>
  <si>
    <t>CSRA Heat 13 Gold</t>
  </si>
  <si>
    <t>fj3inten1pm</t>
  </si>
  <si>
    <t>Ivc 13 elite Adidas Britt</t>
  </si>
  <si>
    <t>fj3inten2pm</t>
  </si>
  <si>
    <t>Intense 13 Perf Jim</t>
  </si>
  <si>
    <t>fj3inten3pm</t>
  </si>
  <si>
    <t>Intense 13 Perf Makaela</t>
  </si>
  <si>
    <t>fj3lakem1pm</t>
  </si>
  <si>
    <t>Lake Murray 13 Nat Red</t>
  </si>
  <si>
    <t>fj3lowco1pm</t>
  </si>
  <si>
    <t>Low Country Volleyball Club</t>
  </si>
  <si>
    <t>LC 13 Tina</t>
  </si>
  <si>
    <t>fj3magnm1pm</t>
  </si>
  <si>
    <t>Magnum Volleyball Club</t>
  </si>
  <si>
    <t>Magnum 13 Mizuno</t>
  </si>
  <si>
    <t>fj3mvpjc1pm</t>
  </si>
  <si>
    <t>MVP 13-Gold</t>
  </si>
  <si>
    <t>fj3mvpjc2pm</t>
  </si>
  <si>
    <t>MVP 13-Black</t>
  </si>
  <si>
    <t>fj3pstri1pm</t>
  </si>
  <si>
    <t>PSVC 13 Cadie</t>
  </si>
  <si>
    <t>fj3pstri2pm</t>
  </si>
  <si>
    <t>PSVC 13 Bailey</t>
  </si>
  <si>
    <t>fj3scmid2pm</t>
  </si>
  <si>
    <t>SC Midlands 13 Perfor</t>
  </si>
  <si>
    <t>fj3upwrd2pm</t>
  </si>
  <si>
    <t>Upward Stars 13 BrittanyH</t>
  </si>
  <si>
    <t>fj3vison1pm</t>
  </si>
  <si>
    <t>Vision 13</t>
  </si>
  <si>
    <t>fj3dovej1cr</t>
  </si>
  <si>
    <t>DOVE</t>
  </si>
  <si>
    <t>D.O.V.E. 13s</t>
  </si>
  <si>
    <t>fj3twinc1cr</t>
  </si>
  <si>
    <t>Twin City Volleyball Academy</t>
  </si>
  <si>
    <t>TCVA 13 Royal</t>
  </si>
  <si>
    <t>fj3unite1so</t>
  </si>
  <si>
    <t>Club Unite</t>
  </si>
  <si>
    <t>Club Unite 13 Jo</t>
  </si>
  <si>
    <t>fj3scmid1pm</t>
  </si>
  <si>
    <t>SC Midlands 13 National</t>
  </si>
  <si>
    <t>fj3magnm2pm</t>
  </si>
  <si>
    <t>Magnum 13 Black</t>
  </si>
  <si>
    <t>fj3pstri3pm</t>
  </si>
  <si>
    <t>PSVC 13 Julia</t>
  </si>
  <si>
    <t>fj3ptovb1so</t>
  </si>
  <si>
    <t>P31 Volleyball Club</t>
  </si>
  <si>
    <t>P31 13-1</t>
  </si>
  <si>
    <t>fj3srsvc1pm</t>
  </si>
  <si>
    <t>SRS 13 Blue</t>
  </si>
  <si>
    <t>fj3ecity1pm</t>
  </si>
  <si>
    <t>Emerald City 13-1</t>
  </si>
  <si>
    <t>fj3axise4pm</t>
  </si>
  <si>
    <t>Axis 13 NT Green Adidas</t>
  </si>
  <si>
    <t>fj3crone1pm</t>
  </si>
  <si>
    <t>C1VB 13 Regional Grvl</t>
  </si>
  <si>
    <t>fj3crone2pm</t>
  </si>
  <si>
    <t>C1VB 13 State Black</t>
  </si>
  <si>
    <t>fj3crone3pm</t>
  </si>
  <si>
    <t>C1VB 13 State Royal</t>
  </si>
  <si>
    <t>fj3celitapm</t>
  </si>
  <si>
    <t>CHSElite 13</t>
  </si>
  <si>
    <t>fj3clubs1pm</t>
  </si>
  <si>
    <t>CSNS 13-3</t>
  </si>
  <si>
    <t>fj3crosf1pm</t>
  </si>
  <si>
    <t>Crossfire 13 Courtney</t>
  </si>
  <si>
    <t>fj3crosf2pm</t>
  </si>
  <si>
    <t>Crossfire 13 Tait</t>
  </si>
  <si>
    <t>fj3csrah2pm</t>
  </si>
  <si>
    <t>CSRA Heat 13 Black</t>
  </si>
  <si>
    <t>fj3csrah3pm</t>
  </si>
  <si>
    <t>CSRA Heat 13 White</t>
  </si>
  <si>
    <t>fj3diamt1pm</t>
  </si>
  <si>
    <t>DiamondT Spikerz</t>
  </si>
  <si>
    <t>DiamondT Spikerz 13U</t>
  </si>
  <si>
    <t>fj3footh1pm</t>
  </si>
  <si>
    <t>Foothills 13 King</t>
  </si>
  <si>
    <t>fj3hvelo1pm</t>
  </si>
  <si>
    <t>High Velocity VBC</t>
  </si>
  <si>
    <t>High Velocity 13's</t>
  </si>
  <si>
    <t>fj3inten4pm</t>
  </si>
  <si>
    <t>Intense 13 Region Elise</t>
  </si>
  <si>
    <t>fj3inten5pm</t>
  </si>
  <si>
    <t>Intense 13 Region Karli</t>
  </si>
  <si>
    <t>fj3inten6pm</t>
  </si>
  <si>
    <t>Intense 13 Region</t>
  </si>
  <si>
    <t>fj3inten7pm</t>
  </si>
  <si>
    <t>Intense 13 Region Lacey</t>
  </si>
  <si>
    <t>fj3kvcjr1pm</t>
  </si>
  <si>
    <t>KVC 13</t>
  </si>
  <si>
    <t>fj3lakem2pm</t>
  </si>
  <si>
    <t>Lake Murray 13 Reg Black</t>
  </si>
  <si>
    <t>fj3magnm3pm</t>
  </si>
  <si>
    <t>Magnum 13 Red</t>
  </si>
  <si>
    <t>fj3scmid3pm</t>
  </si>
  <si>
    <t>SC Midlands 13 Black</t>
  </si>
  <si>
    <t>fj3scmid4pm</t>
  </si>
  <si>
    <t>SC Midlands 13 Garnet</t>
  </si>
  <si>
    <t>fj3sumtr1pm</t>
  </si>
  <si>
    <t>Sumter VBC</t>
  </si>
  <si>
    <t>Sumter VBC 13-1</t>
  </si>
  <si>
    <t>fj3biltm1cr</t>
  </si>
  <si>
    <t>BVA 13 Black</t>
  </si>
  <si>
    <t>fj3biltm3cr</t>
  </si>
  <si>
    <t>BVA 13 Purple</t>
  </si>
  <si>
    <t>fj3biltm2cr</t>
  </si>
  <si>
    <t>BVA 13 White</t>
  </si>
  <si>
    <t>fj3galxy1cr</t>
  </si>
  <si>
    <t>Gaston Galaxy U13</t>
  </si>
  <si>
    <t>fj3thcts1cr</t>
  </si>
  <si>
    <t>Thunder Cats Volleyball Club</t>
  </si>
  <si>
    <t>TCVBYKD 13-1</t>
  </si>
  <si>
    <t>fj3unite3so</t>
  </si>
  <si>
    <t>Club Unite 13 Kayla</t>
  </si>
  <si>
    <t>fj3extvc1so</t>
  </si>
  <si>
    <t>Extreme Volleyball Club</t>
  </si>
  <si>
    <t>Extreme 13-1</t>
  </si>
  <si>
    <t>fj4crone2pm</t>
  </si>
  <si>
    <t>C1VB 14 Power Grvl</t>
  </si>
  <si>
    <t>fj4crone3pm</t>
  </si>
  <si>
    <t>C1VB 14 Power Pickens</t>
  </si>
  <si>
    <t>fj4crosf1pm</t>
  </si>
  <si>
    <t>Crossfire 14 Mellie</t>
  </si>
  <si>
    <t>fj4crosf2pm</t>
  </si>
  <si>
    <t>Crossfire 14 Jerad</t>
  </si>
  <si>
    <t>fj4inten6pm</t>
  </si>
  <si>
    <t>Intense 14 Perform Harris</t>
  </si>
  <si>
    <t>fj4kc11j1pm</t>
  </si>
  <si>
    <t>KC11 Volleyball Club</t>
  </si>
  <si>
    <t>KC11 14's</t>
  </si>
  <si>
    <t>fj4lowco1pm</t>
  </si>
  <si>
    <t>LC 14 Corry</t>
  </si>
  <si>
    <t>fj4magnm2pm</t>
  </si>
  <si>
    <t>Magnum 14 Elite</t>
  </si>
  <si>
    <t>fj4mvpjc1pm</t>
  </si>
  <si>
    <t>MVP 14-Gold</t>
  </si>
  <si>
    <t>fj4mvpjc2pm</t>
  </si>
  <si>
    <t>MVP 14-Black</t>
  </si>
  <si>
    <t>fj4pstri1pm</t>
  </si>
  <si>
    <t>PSVC 14 Jamaica</t>
  </si>
  <si>
    <t>fj4pstri2pm</t>
  </si>
  <si>
    <t>PSVC 14 Bethany</t>
  </si>
  <si>
    <t>fj4pstri3pm</t>
  </si>
  <si>
    <t>PSVC 14 Brittanie</t>
  </si>
  <si>
    <t>fj4srsvc1pm</t>
  </si>
  <si>
    <t>SRS 14 Blue</t>
  </si>
  <si>
    <t>fj4scmid1pm</t>
  </si>
  <si>
    <t>SC Midlands 14 National B</t>
  </si>
  <si>
    <t>fj4scmid2pm</t>
  </si>
  <si>
    <t>SC Midlands 14 National G</t>
  </si>
  <si>
    <t>fj4scmid4pm</t>
  </si>
  <si>
    <t>SC Midlands 14U Boys</t>
  </si>
  <si>
    <t>fj4upsvc1pm</t>
  </si>
  <si>
    <t>Upstate Volleyball Club</t>
  </si>
  <si>
    <t>Upstate 14 Bre</t>
  </si>
  <si>
    <t>fj4upwrd2pm</t>
  </si>
  <si>
    <t>Upward Stars 14 Zach</t>
  </si>
  <si>
    <t>fj4vison1pm</t>
  </si>
  <si>
    <t>Vision 14</t>
  </si>
  <si>
    <t>fj4dovej1cr</t>
  </si>
  <si>
    <t>D.O.V.E. 14s</t>
  </si>
  <si>
    <t>fj4twinc3cr</t>
  </si>
  <si>
    <t>TCVA 14 Green</t>
  </si>
  <si>
    <t>fj4twinc1cr</t>
  </si>
  <si>
    <t>TCVA 14 Royal</t>
  </si>
  <si>
    <t>fj4unite1so</t>
  </si>
  <si>
    <t>Club Unite 14 Brandon</t>
  </si>
  <si>
    <t>fj4crone1pm</t>
  </si>
  <si>
    <t>C1VB 14 Elite Pickens</t>
  </si>
  <si>
    <t>fj4csrah1pm</t>
  </si>
  <si>
    <t>CSRA Heat 14N-Connie</t>
  </si>
  <si>
    <t>fj4magnm1pm</t>
  </si>
  <si>
    <t>Magnum 14 Mizuno</t>
  </si>
  <si>
    <t>fj4inten1pm</t>
  </si>
  <si>
    <t>Ivc 14 Adidas Elite MD</t>
  </si>
  <si>
    <t>fj4inten3pm</t>
  </si>
  <si>
    <t>Intense 14 Per Kaitlynn</t>
  </si>
  <si>
    <t>fj4csrah2pm</t>
  </si>
  <si>
    <t>CSRA Heat 14N-Tori</t>
  </si>
  <si>
    <t>fj4excel1pm</t>
  </si>
  <si>
    <t>Excell 14 Premire</t>
  </si>
  <si>
    <t>fj4inten2pm</t>
  </si>
  <si>
    <t>Intense 14 perf Haley</t>
  </si>
  <si>
    <t>fj4fortm1pm</t>
  </si>
  <si>
    <t>Fort Mill VBC</t>
  </si>
  <si>
    <t>Fort Mill 14 Fury</t>
  </si>
  <si>
    <t>fj4pstri4pm</t>
  </si>
  <si>
    <t>PSVC 14 Doug</t>
  </si>
  <si>
    <t>fj4union1pm</t>
  </si>
  <si>
    <t>UNION COUNTY VOLLEYBALL CLUB</t>
  </si>
  <si>
    <t>UCVC-SC 14-1</t>
  </si>
  <si>
    <t>fj4upwrd3pm</t>
  </si>
  <si>
    <t>Upward Stars 14 Tara</t>
  </si>
  <si>
    <t>fj4biltm1cr</t>
  </si>
  <si>
    <t>BVA 14 Elite</t>
  </si>
  <si>
    <t>fj4ignte1pm</t>
  </si>
  <si>
    <t>Ignite Volleyball Academy</t>
  </si>
  <si>
    <t>Ignite 14</t>
  </si>
  <si>
    <t>fj4ptovb1so</t>
  </si>
  <si>
    <t>P31 14-1</t>
  </si>
  <si>
    <t>fj4beauf1pm</t>
  </si>
  <si>
    <t>Beaufort Volleyball Club</t>
  </si>
  <si>
    <t>Beaufort Fourteens'</t>
  </si>
  <si>
    <t>fj4mbeac1pm</t>
  </si>
  <si>
    <t>14U Elite Walter</t>
  </si>
  <si>
    <t>fj4ladyc1pm</t>
  </si>
  <si>
    <t>OLC 14s Purple Elite</t>
  </si>
  <si>
    <t>fj4scmid3pm</t>
  </si>
  <si>
    <t>SC Midlands 14 Black</t>
  </si>
  <si>
    <t>fj4sumtr1pm</t>
  </si>
  <si>
    <t>Sumter VBC 14 - 1</t>
  </si>
  <si>
    <t>fj4axise4pm</t>
  </si>
  <si>
    <t>Axis 14 NT Black Adidas</t>
  </si>
  <si>
    <t>fj4bbear1pm</t>
  </si>
  <si>
    <t>Black Bears 14</t>
  </si>
  <si>
    <t>fj4branc1pm</t>
  </si>
  <si>
    <t>Branchville Juniors</t>
  </si>
  <si>
    <t>Branchville 14 Club</t>
  </si>
  <si>
    <t>fj4crone4pm</t>
  </si>
  <si>
    <t>C1VB 14 Reg Black Grvl</t>
  </si>
  <si>
    <t>fj4crone5pm</t>
  </si>
  <si>
    <t>C1VB 14 Reg Royal Grvl</t>
  </si>
  <si>
    <t>fj4crone6pm</t>
  </si>
  <si>
    <t>C1VB 14 State Grvl</t>
  </si>
  <si>
    <t>fj4celitapm</t>
  </si>
  <si>
    <t>CHSElite 14</t>
  </si>
  <si>
    <t>fj4crosf3pm</t>
  </si>
  <si>
    <t>Crossfire 14 Anna</t>
  </si>
  <si>
    <t>fj4crosf4pm</t>
  </si>
  <si>
    <t>Crossfire 14 Kenzie</t>
  </si>
  <si>
    <t>fj4csrah3pm</t>
  </si>
  <si>
    <t>CSRA Heat 14 Black</t>
  </si>
  <si>
    <t>fj4csrah4pm</t>
  </si>
  <si>
    <t>CSRA Heat 14 Red</t>
  </si>
  <si>
    <t>fj4csrah5pm</t>
  </si>
  <si>
    <t>CSRA Heat 14 White</t>
  </si>
  <si>
    <t>fj4ecity1pm</t>
  </si>
  <si>
    <t>Emerald City 14-1</t>
  </si>
  <si>
    <t>fj4excel2pm</t>
  </si>
  <si>
    <t>Excell 14 Select</t>
  </si>
  <si>
    <t>fj4footh1pm</t>
  </si>
  <si>
    <t>Foothills 14 Mike</t>
  </si>
  <si>
    <t>fj4hvelo1pm</t>
  </si>
  <si>
    <t>High Velocity 14's</t>
  </si>
  <si>
    <t>fj4inten4pm</t>
  </si>
  <si>
    <t>Intense 14 Region Alan</t>
  </si>
  <si>
    <t>fj4inten5pm</t>
  </si>
  <si>
    <t>Intense 14 Region Ashley</t>
  </si>
  <si>
    <t>fj4inten7pm</t>
  </si>
  <si>
    <t>Intense 14 Region Henry</t>
  </si>
  <si>
    <t>fj4kersh1pm</t>
  </si>
  <si>
    <t>Kershaw 14 Black</t>
  </si>
  <si>
    <t>fj4lakem2pm</t>
  </si>
  <si>
    <t>Lake Murray 14 Reg Black</t>
  </si>
  <si>
    <t>fj4lowco2pm</t>
  </si>
  <si>
    <t>LC 14 Christy</t>
  </si>
  <si>
    <t>fj4mtnel1pm</t>
  </si>
  <si>
    <t>MEVC14Caylie</t>
  </si>
  <si>
    <t>fj4mtnel2pm</t>
  </si>
  <si>
    <t>MEVC14Jenkins</t>
  </si>
  <si>
    <t>fj4scwea1pm</t>
  </si>
  <si>
    <t>SCWE14AERIES</t>
  </si>
  <si>
    <t>fj4scwea2pm</t>
  </si>
  <si>
    <t>SCWE14TALONS</t>
  </si>
  <si>
    <t>fj4upwrdapm</t>
  </si>
  <si>
    <t>Upward Stars 14 Tasha</t>
  </si>
  <si>
    <t>fj4aevbc9cr</t>
  </si>
  <si>
    <t>Alamance Eagles Volleyball Club</t>
  </si>
  <si>
    <t>ALAMANCE EAGLES 14U</t>
  </si>
  <si>
    <t>fj4biltm2cr</t>
  </si>
  <si>
    <t>BVA 14 Black</t>
  </si>
  <si>
    <t>fj4biltm3cr</t>
  </si>
  <si>
    <t>BVA 14 White</t>
  </si>
  <si>
    <t>fj4ednvr1cr</t>
  </si>
  <si>
    <t>East Denver Volleyball Club</t>
  </si>
  <si>
    <t>East Denver 14U</t>
  </si>
  <si>
    <t>fj4galxy1cr</t>
  </si>
  <si>
    <t>Gaston Galaxy U14 Purple</t>
  </si>
  <si>
    <t>fj4galxy2cr</t>
  </si>
  <si>
    <t>Gaston Galaxy U14 Silver</t>
  </si>
  <si>
    <t>fj4mtxej1cr</t>
  </si>
  <si>
    <t>MTXE Juniors</t>
  </si>
  <si>
    <t>Shockers 14-1</t>
  </si>
  <si>
    <t>fj4thcts1cr</t>
  </si>
  <si>
    <t>TCVBYKD 14-1</t>
  </si>
  <si>
    <t>fj4tlife1cr</t>
  </si>
  <si>
    <t>Team Life Volleyball Club</t>
  </si>
  <si>
    <t>TLVC BLACK</t>
  </si>
  <si>
    <t>fj4tlife2cr</t>
  </si>
  <si>
    <t>TLVC YELLOW</t>
  </si>
  <si>
    <t>fj4trste1cr</t>
  </si>
  <si>
    <t>Tri-State Extreme Volleyball Club</t>
  </si>
  <si>
    <t>TSEVBC 14-1</t>
  </si>
  <si>
    <t>fj4unite5so</t>
  </si>
  <si>
    <t>Club Unite Abbie</t>
  </si>
  <si>
    <t>fj4unite4so</t>
  </si>
  <si>
    <t>Club Unite Torey</t>
  </si>
  <si>
    <t>fj4svavc1so</t>
  </si>
  <si>
    <t>Southern Volleyball Academy</t>
  </si>
  <si>
    <t>SVA 14-1 Grey</t>
  </si>
  <si>
    <t>fj5crone1pm</t>
  </si>
  <si>
    <t>C1VB 15 National Grvl</t>
  </si>
  <si>
    <t>fj5crone2pm</t>
  </si>
  <si>
    <t>C1VB 15 Elite Grvl</t>
  </si>
  <si>
    <t>fj5crone3pm</t>
  </si>
  <si>
    <t>C1VB 15 Power Grvl</t>
  </si>
  <si>
    <t>fj5crosf2pm</t>
  </si>
  <si>
    <t>Crossfire 15 Chris</t>
  </si>
  <si>
    <t>fj5crosf5pm</t>
  </si>
  <si>
    <t>Crossfire 15 Carla</t>
  </si>
  <si>
    <t>fj5csrah1pm</t>
  </si>
  <si>
    <t>CSRA Heat 15 National</t>
  </si>
  <si>
    <t>fj5csrah2pm</t>
  </si>
  <si>
    <t>CSRA Heat 15 Gold</t>
  </si>
  <si>
    <t>fj5inten1pm</t>
  </si>
  <si>
    <t>IVC 15 Adidas Elite G</t>
  </si>
  <si>
    <t>fj5inten2pm</t>
  </si>
  <si>
    <t>IVC 15 Adidas Elite Cat</t>
  </si>
  <si>
    <t>fj5inten3pm</t>
  </si>
  <si>
    <t>IVC 15 Elite Adidas Sid</t>
  </si>
  <si>
    <t>fj5inten4pm</t>
  </si>
  <si>
    <t>IVC 15 Elite Adidas Tay</t>
  </si>
  <si>
    <t>fj5inten5pm</t>
  </si>
  <si>
    <t>Intense 15 Perf Danielle</t>
  </si>
  <si>
    <t>fj5islun1pm</t>
  </si>
  <si>
    <t>Island United</t>
  </si>
  <si>
    <t>Island United 15-1</t>
  </si>
  <si>
    <t>fj5lakem1pm</t>
  </si>
  <si>
    <t>Lake Murray 15 Nat Red</t>
  </si>
  <si>
    <t>fj5lowco1pm</t>
  </si>
  <si>
    <t>LC 15N</t>
  </si>
  <si>
    <t>fj5magnm2pm</t>
  </si>
  <si>
    <t>Magnum 15 Elite</t>
  </si>
  <si>
    <t>fj5mvpjc1pm</t>
  </si>
  <si>
    <t>MVP 15-Gold</t>
  </si>
  <si>
    <t>fj5pstri1pm</t>
  </si>
  <si>
    <t>PSVC 15 Amanda</t>
  </si>
  <si>
    <t>fj5pstri2pm</t>
  </si>
  <si>
    <t>PSVC 15 Cortland</t>
  </si>
  <si>
    <t>fj5srsvc1pm</t>
  </si>
  <si>
    <t>SRS 15 Blue</t>
  </si>
  <si>
    <t>fj5slegy1pm</t>
  </si>
  <si>
    <t>Southern Legacy 15-1</t>
  </si>
  <si>
    <t>fj5upwrd1pm</t>
  </si>
  <si>
    <t>Upward Stars 15 Val</t>
  </si>
  <si>
    <t>fj5upwrd3pm</t>
  </si>
  <si>
    <t>Upward Stars 15 Brittni</t>
  </si>
  <si>
    <t>fj5vison1pm</t>
  </si>
  <si>
    <t>Vision 15 Adidas</t>
  </si>
  <si>
    <t>fj5twinc3cr</t>
  </si>
  <si>
    <t>TCVA 15 Black</t>
  </si>
  <si>
    <t>fj5hovjr2od</t>
  </si>
  <si>
    <t>Heart of Virginia - HOV</t>
  </si>
  <si>
    <t>HOV U15 Regional</t>
  </si>
  <si>
    <t>fj5cross1so</t>
  </si>
  <si>
    <t>Crossfire Volleyball Club</t>
  </si>
  <si>
    <t>Crossfire 15 Smack</t>
  </si>
  <si>
    <t>fj5triex1so</t>
  </si>
  <si>
    <t>Tri-Cities Extreme</t>
  </si>
  <si>
    <t>TEV 15 Devyn</t>
  </si>
  <si>
    <t>fj5triex2so</t>
  </si>
  <si>
    <t>TEV 15 Peyton</t>
  </si>
  <si>
    <t>fj5magnm1pm</t>
  </si>
  <si>
    <t>Magnum 15 Mizuno</t>
  </si>
  <si>
    <t>fj5scmid1pm</t>
  </si>
  <si>
    <t>SC Midlands 15 National</t>
  </si>
  <si>
    <t>fj5scmid2pm</t>
  </si>
  <si>
    <t>SC Midlands 15 Perfor B</t>
  </si>
  <si>
    <t>fj5scmid3pm</t>
  </si>
  <si>
    <t>SC Midlands 15 Perfor G</t>
  </si>
  <si>
    <t>fj5upwrd4pm</t>
  </si>
  <si>
    <t>Upward Stars 15 Jimmy</t>
  </si>
  <si>
    <t>fj5mbeac1pm</t>
  </si>
  <si>
    <t>15U Elite Randy</t>
  </si>
  <si>
    <t>fj5mtnel1pm</t>
  </si>
  <si>
    <t>MEVC15Cori</t>
  </si>
  <si>
    <t>fj5prage1pm</t>
  </si>
  <si>
    <t>Palmetto Rage Volleyball Club</t>
  </si>
  <si>
    <t>PRV 15 Trisha</t>
  </si>
  <si>
    <t>fj5upwrd6pm</t>
  </si>
  <si>
    <t>Upward Stars 15 Alex</t>
  </si>
  <si>
    <t>fj5upwrd7pm</t>
  </si>
  <si>
    <t>Upward Stars 15 Olivia</t>
  </si>
  <si>
    <t>fj5biltm1cr</t>
  </si>
  <si>
    <t>Biltmore 15 Elite</t>
  </si>
  <si>
    <t>fj5spart1fl</t>
  </si>
  <si>
    <t>Lake Nona Volleyball Academy</t>
  </si>
  <si>
    <t>LNVA MIZUNO BLUE</t>
  </si>
  <si>
    <t>fj5atown1pm</t>
  </si>
  <si>
    <t>ATown Volleyball Academy</t>
  </si>
  <si>
    <t>ATown 15 Orange</t>
  </si>
  <si>
    <t>fj5excel2pm</t>
  </si>
  <si>
    <t>Excell 15 Select</t>
  </si>
  <si>
    <t>fj5mbeac2pm</t>
  </si>
  <si>
    <t>15U Elite Teresa</t>
  </si>
  <si>
    <t>fj5axise3pm</t>
  </si>
  <si>
    <t>Axis 15 NT White Adidas</t>
  </si>
  <si>
    <t>fj5crone4pm</t>
  </si>
  <si>
    <t>C1VB 15 Regional Pickens</t>
  </si>
  <si>
    <t>fj5crone5pm</t>
  </si>
  <si>
    <t>C1VB 15 Regional Grvl</t>
  </si>
  <si>
    <t>fj5celitapm</t>
  </si>
  <si>
    <t>CHSElite 15</t>
  </si>
  <si>
    <t>fj5starl1pm</t>
  </si>
  <si>
    <t>Columbia SC Starlings</t>
  </si>
  <si>
    <t>Columbia SC Starlings 15</t>
  </si>
  <si>
    <t>fj5csrah3pm</t>
  </si>
  <si>
    <t>CSRA Heat 15 Black</t>
  </si>
  <si>
    <t>fj5inten6pm</t>
  </si>
  <si>
    <t>Intense 15 Region Darden</t>
  </si>
  <si>
    <t>fj5kvcjr1pm</t>
  </si>
  <si>
    <t>KVC 15</t>
  </si>
  <si>
    <t>fj5lakew1pm</t>
  </si>
  <si>
    <t>Lake Wylie Volleyball Club</t>
  </si>
  <si>
    <t>Lake Wylie Hurricane 15-1</t>
  </si>
  <si>
    <t>fj5ladyc1pm</t>
  </si>
  <si>
    <t>OLC 15s Purple</t>
  </si>
  <si>
    <t>fj5ladyc2pm</t>
  </si>
  <si>
    <t>OLC purple Elite 15s</t>
  </si>
  <si>
    <t>fj5cstar1pm</t>
  </si>
  <si>
    <t>Palmetto Starlings</t>
  </si>
  <si>
    <t>Palmetto Starlings 15-1</t>
  </si>
  <si>
    <t>fj5sandh1pm</t>
  </si>
  <si>
    <t>Sandhills Volleyball Club</t>
  </si>
  <si>
    <t>SVBC Blazers 15</t>
  </si>
  <si>
    <t>fj5scmid4pm</t>
  </si>
  <si>
    <t>SC Midlands 15 Black</t>
  </si>
  <si>
    <t>fj5scwea1pm</t>
  </si>
  <si>
    <t>SCWE15WINGS</t>
  </si>
  <si>
    <t>fj5biltm2cr</t>
  </si>
  <si>
    <t>BVA 15 Black</t>
  </si>
  <si>
    <t>fj5robco1cr</t>
  </si>
  <si>
    <t>RobCo Volleyball Club</t>
  </si>
  <si>
    <t>ROBCO VC 15</t>
  </si>
  <si>
    <t>fj5thcts1cr</t>
  </si>
  <si>
    <t>TCVBYKD 15-1</t>
  </si>
  <si>
    <t>fj6caris2pm</t>
  </si>
  <si>
    <t>Car. Islanders 16 Power</t>
  </si>
  <si>
    <t>fj6crone1pm</t>
  </si>
  <si>
    <t>C1VB 16 National Grvl</t>
  </si>
  <si>
    <t>fj6crosf1pm</t>
  </si>
  <si>
    <t>Crossfire 16 Tiffany</t>
  </si>
  <si>
    <t>fj6csrah1pm</t>
  </si>
  <si>
    <t>CSRA Heat 16 National</t>
  </si>
  <si>
    <t>fj6csrah2pm</t>
  </si>
  <si>
    <t>CSRA Heat 16 Gold</t>
  </si>
  <si>
    <t>fj6excel1pm</t>
  </si>
  <si>
    <t>Excell 16 Premire</t>
  </si>
  <si>
    <t>fj6grand1pm</t>
  </si>
  <si>
    <t>GSJ 16 National</t>
  </si>
  <si>
    <t>fj6hvelo1pm</t>
  </si>
  <si>
    <t>High Velocity 16's Nat</t>
  </si>
  <si>
    <t>fj6inten2pm</t>
  </si>
  <si>
    <t>Ivc 16 Adidas Elite Cecel</t>
  </si>
  <si>
    <t>fj6kvcjr1pm</t>
  </si>
  <si>
    <t>KVC 16</t>
  </si>
  <si>
    <t>fj6lakem1pm</t>
  </si>
  <si>
    <t>Lake Murray 16 Nat Red</t>
  </si>
  <si>
    <t>fj6lowco1pm</t>
  </si>
  <si>
    <t>LC 16P</t>
  </si>
  <si>
    <t>fj6magnm1pm</t>
  </si>
  <si>
    <t>Magnum 16 Mizuno</t>
  </si>
  <si>
    <t>fj6motoj5pm</t>
  </si>
  <si>
    <t>MOTO</t>
  </si>
  <si>
    <t>IGNITE 16s</t>
  </si>
  <si>
    <t>fj6prage1pm</t>
  </si>
  <si>
    <t>PRV 16 Alicia</t>
  </si>
  <si>
    <t>fj6pstri2pm</t>
  </si>
  <si>
    <t>PSVC 16 Dan</t>
  </si>
  <si>
    <t>fj6srsvc1pm</t>
  </si>
  <si>
    <t>SRS 16 Blue</t>
  </si>
  <si>
    <t>fj6scmid1pm</t>
  </si>
  <si>
    <t>SC Midlands 16 National</t>
  </si>
  <si>
    <t>fj6scmid2pm</t>
  </si>
  <si>
    <t>SC Midlands 16 Perfor B</t>
  </si>
  <si>
    <t>fj6scmid3pm</t>
  </si>
  <si>
    <t>SC Midlands 16 Perfor G</t>
  </si>
  <si>
    <t>fj6slegy1pm</t>
  </si>
  <si>
    <t>Southern Legacy 16-1</t>
  </si>
  <si>
    <t>fj6upsvc1pm</t>
  </si>
  <si>
    <t>Upstate 16 Amber</t>
  </si>
  <si>
    <t>fj6upsvc2pm</t>
  </si>
  <si>
    <t>Upstate 16 Greg</t>
  </si>
  <si>
    <t>fj6vison1pm</t>
  </si>
  <si>
    <t>Vision 16</t>
  </si>
  <si>
    <t>fj6biltm1cr</t>
  </si>
  <si>
    <t>BVA 16 Elite</t>
  </si>
  <si>
    <t>fj6crchv1cr</t>
  </si>
  <si>
    <t>Carolina Chaos Volleyball</t>
  </si>
  <si>
    <t>Carolina Chaos 16-1</t>
  </si>
  <si>
    <t>fj6cro165cr</t>
  </si>
  <si>
    <t>CrossPoint</t>
  </si>
  <si>
    <t>Chaos 16-5</t>
  </si>
  <si>
    <t>fj6cslct2cr</t>
  </si>
  <si>
    <t>Carolina Select Volleyball Club</t>
  </si>
  <si>
    <t>CSVC 16 Attack</t>
  </si>
  <si>
    <t>fj6cslct1cr</t>
  </si>
  <si>
    <t>CSVC 16 Legend</t>
  </si>
  <si>
    <t>fj6dovej1cr</t>
  </si>
  <si>
    <t>D.O.V.E. 16s</t>
  </si>
  <si>
    <t>fj6twinc2cr</t>
  </si>
  <si>
    <t>TCVA 16 Black</t>
  </si>
  <si>
    <t>fj6twinc3cr</t>
  </si>
  <si>
    <t>TCVA 16 Green</t>
  </si>
  <si>
    <t>fj6vbrag2ge</t>
  </si>
  <si>
    <t>VB Rags Volleyball Academy</t>
  </si>
  <si>
    <t>Team VB Rags 16N-Fernando</t>
  </si>
  <si>
    <t>fj6intvc1so</t>
  </si>
  <si>
    <t>Intensity Volleyball Club</t>
  </si>
  <si>
    <t>IVC - 16 Bryan</t>
  </si>
  <si>
    <t>fj6triex1so</t>
  </si>
  <si>
    <t>TEV 16 Gary</t>
  </si>
  <si>
    <t>fj6inten1pm</t>
  </si>
  <si>
    <t>Ivc 16 Adidas Elite Hunte</t>
  </si>
  <si>
    <t>fj6pstri1pm</t>
  </si>
  <si>
    <t>PSVC 16 Sabina</t>
  </si>
  <si>
    <t>fj6vbrag1ge</t>
  </si>
  <si>
    <t>Team VB Rags 16N-Jason</t>
  </si>
  <si>
    <t>fj6inten3pm</t>
  </si>
  <si>
    <t>Intense 16 Perf Brook</t>
  </si>
  <si>
    <t>fj6union1pm</t>
  </si>
  <si>
    <t>UCVC-SC 16-1</t>
  </si>
  <si>
    <t>fj6upwrd4pm</t>
  </si>
  <si>
    <t>Upward Stars 16 Tonja</t>
  </si>
  <si>
    <t>fj6ecity1pm</t>
  </si>
  <si>
    <t>Emerald City 16-1</t>
  </si>
  <si>
    <t>fj6atown1pm</t>
  </si>
  <si>
    <t>ATown 16 Black</t>
  </si>
  <si>
    <t>fj6magnm2pm</t>
  </si>
  <si>
    <t>Magnum 16 Black</t>
  </si>
  <si>
    <t>fj6mtnel1pm</t>
  </si>
  <si>
    <t>MEVC16Kenny</t>
  </si>
  <si>
    <t>fj6upwrd3pm</t>
  </si>
  <si>
    <t>Upward Stars 16 Erin</t>
  </si>
  <si>
    <t>fj6triex3so</t>
  </si>
  <si>
    <t>TEV 16 Abigail</t>
  </si>
  <si>
    <t>fj6scwea1pm</t>
  </si>
  <si>
    <t>SCWE16RAPTORS</t>
  </si>
  <si>
    <t>fj6atown2pm</t>
  </si>
  <si>
    <t>ATown 16 Orange</t>
  </si>
  <si>
    <t>fj6upwrd5pm</t>
  </si>
  <si>
    <t>Upward Stars 16 Lindsay</t>
  </si>
  <si>
    <t>fj6upwrd6pm</t>
  </si>
  <si>
    <t>Upward Stars 16 Annie</t>
  </si>
  <si>
    <t>fj6mbeac1pm</t>
  </si>
  <si>
    <t>16U Elite Brittany</t>
  </si>
  <si>
    <t>fj6srsvc2pm</t>
  </si>
  <si>
    <t>SRS 16 Red</t>
  </si>
  <si>
    <t>fj6upsvc3pm</t>
  </si>
  <si>
    <t>Upstate 16 Coco</t>
  </si>
  <si>
    <t>fj6beauf1pm</t>
  </si>
  <si>
    <t>Beaufort 16's</t>
  </si>
  <si>
    <t>fj6aelit1pm</t>
  </si>
  <si>
    <t>Augusta Elite</t>
  </si>
  <si>
    <t>Augusta Elite 16 HAVOC</t>
  </si>
  <si>
    <t>fj6bbear1pm</t>
  </si>
  <si>
    <t>Black Bears 16</t>
  </si>
  <si>
    <t>fj6branc1pm</t>
  </si>
  <si>
    <t>Branchville 16 Juniors</t>
  </si>
  <si>
    <t>fj6celitapm</t>
  </si>
  <si>
    <t>CHSElite 16</t>
  </si>
  <si>
    <t>fj6crosf2pm</t>
  </si>
  <si>
    <t>Crossfire 16 Sam</t>
  </si>
  <si>
    <t>fj6csrah3pm</t>
  </si>
  <si>
    <t>CSRA Heat 16 Black</t>
  </si>
  <si>
    <t>fj6ecity2pm</t>
  </si>
  <si>
    <t>Emerald City 16-2</t>
  </si>
  <si>
    <t>fj6kersh1pm</t>
  </si>
  <si>
    <t>Kershaw 16 Black</t>
  </si>
  <si>
    <t>fj6lakem2pm</t>
  </si>
  <si>
    <t>Lake Murray 16 Reg Black</t>
  </si>
  <si>
    <t>fj6sumtr1pm</t>
  </si>
  <si>
    <t>Sumter VBC 16 OJ</t>
  </si>
  <si>
    <t>fj6sumtr2pm</t>
  </si>
  <si>
    <t>Sumter VBC 16 Megan</t>
  </si>
  <si>
    <t>fj6union2pm</t>
  </si>
  <si>
    <t>UCVC-SC 16-2</t>
  </si>
  <si>
    <t>fj6ednvr1cr</t>
  </si>
  <si>
    <t>East Denver 16U</t>
  </si>
  <si>
    <t>fj6shlby6cr</t>
  </si>
  <si>
    <t>Shelby Strikers</t>
  </si>
  <si>
    <t>shelby - Carolina Chaos16</t>
  </si>
  <si>
    <t>fj6smvbc1cr</t>
  </si>
  <si>
    <t>Smoky Mountain Volleyball Club</t>
  </si>
  <si>
    <t>SMVC Royals 16-1</t>
  </si>
  <si>
    <t>fj6thcts1cr</t>
  </si>
  <si>
    <t>TCVBYKD 16-1</t>
  </si>
  <si>
    <t>fj6tlife1cr</t>
  </si>
  <si>
    <t>TLVC 16U</t>
  </si>
  <si>
    <t>fj6extvc1so</t>
  </si>
  <si>
    <t>Extreme 16-1</t>
  </si>
  <si>
    <t>fj6triex4so</t>
  </si>
  <si>
    <t>TEV 16 Samantha</t>
  </si>
  <si>
    <t>fj7crone1pm</t>
  </si>
  <si>
    <t>C1VB 17 Power</t>
  </si>
  <si>
    <t>fj7csrah1pm</t>
  </si>
  <si>
    <t>CSRA Heat 17 National</t>
  </si>
  <si>
    <t>fj7hvelo1pm</t>
  </si>
  <si>
    <t>High Velocity 17's Nat</t>
  </si>
  <si>
    <t>fj7inten2pm</t>
  </si>
  <si>
    <t>IVC 17 P/E Adidas Eunice</t>
  </si>
  <si>
    <t>fj7islun1pm</t>
  </si>
  <si>
    <t>Island United 17-1</t>
  </si>
  <si>
    <t>fj7pstri1pm</t>
  </si>
  <si>
    <t>PSVC 17 Cindy</t>
  </si>
  <si>
    <t>fj7scmid1pm</t>
  </si>
  <si>
    <t>SC Midlands 17 National</t>
  </si>
  <si>
    <t>fj7scmid2pm</t>
  </si>
  <si>
    <t>SC Midlands 17 Perfor</t>
  </si>
  <si>
    <t>fj7vison1pm</t>
  </si>
  <si>
    <t>Vision 17</t>
  </si>
  <si>
    <t>fj7biltm1cr</t>
  </si>
  <si>
    <t>BVA 17 Elite</t>
  </si>
  <si>
    <t>fj7twinc2cr</t>
  </si>
  <si>
    <t>TCVA 17 Black</t>
  </si>
  <si>
    <t>fj7triex1so</t>
  </si>
  <si>
    <t>TEV 17 Dale</t>
  </si>
  <si>
    <t>fj7triex2so</t>
  </si>
  <si>
    <t>TEV 17 Patrick</t>
  </si>
  <si>
    <t>fj7inten1pm</t>
  </si>
  <si>
    <t>IVC 17 Adidas Elite Jerry</t>
  </si>
  <si>
    <t>fj7svavc1so</t>
  </si>
  <si>
    <t>SVA 17-1 Turquoise</t>
  </si>
  <si>
    <t>fj7atown1pm</t>
  </si>
  <si>
    <t>ATown 17 Black</t>
  </si>
  <si>
    <t>fj7beauf1pm</t>
  </si>
  <si>
    <t>Beaufort Seventeens</t>
  </si>
  <si>
    <t>fj7upwrd3pm</t>
  </si>
  <si>
    <t>Upward Stars 17 David</t>
  </si>
  <si>
    <t>fj7spart1fl</t>
  </si>
  <si>
    <t>LNVA MIZUNO NAVY</t>
  </si>
  <si>
    <t>fj7ignte1pm</t>
  </si>
  <si>
    <t>Ignite 17</t>
  </si>
  <si>
    <t>fj7mbeac1pm</t>
  </si>
  <si>
    <t>17U Elite Tom</t>
  </si>
  <si>
    <t>fj7branc1pm</t>
  </si>
  <si>
    <t>Branchville 17 Club</t>
  </si>
  <si>
    <t>fj7celitapm</t>
  </si>
  <si>
    <t>CHSElite 17</t>
  </si>
  <si>
    <t>fj7footh1pm</t>
  </si>
  <si>
    <t>Foothills 17 Matt</t>
  </si>
  <si>
    <t>fj7inten3pm</t>
  </si>
  <si>
    <t>Intense Region AJ</t>
  </si>
  <si>
    <t>fj7ladyc1pm</t>
  </si>
  <si>
    <t>OLC 17s Purple Elite Team</t>
  </si>
  <si>
    <t>fj7scmid3pm</t>
  </si>
  <si>
    <t>SC Midlands 17 Black</t>
  </si>
  <si>
    <t>fj7aevbc6cr</t>
  </si>
  <si>
    <t>ALAMANCE EAGLES 17U</t>
  </si>
  <si>
    <t>fj7biltm2cr</t>
  </si>
  <si>
    <t>BVA 17 Black</t>
  </si>
  <si>
    <t>fj7leecowcr</t>
  </si>
  <si>
    <t>Lee County Heat</t>
  </si>
  <si>
    <t>HEAT 17</t>
  </si>
  <si>
    <t>fj7unsel1cr</t>
  </si>
  <si>
    <t>USA Purple Jo</t>
  </si>
  <si>
    <t>fj7svavc2so</t>
  </si>
  <si>
    <t>SVA 17-2 Blue</t>
  </si>
  <si>
    <t>fj8beauf1pm</t>
  </si>
  <si>
    <t>Beaufort Select 18U</t>
  </si>
  <si>
    <t>fj8caris1pm</t>
  </si>
  <si>
    <t>Car. Islanders 18 Power</t>
  </si>
  <si>
    <t>fj8crone1pm</t>
  </si>
  <si>
    <t>C1VB 18 Power</t>
  </si>
  <si>
    <t>fj8lakem1pm</t>
  </si>
  <si>
    <t>Lake Murray 18 Nat Red</t>
  </si>
  <si>
    <t>fj8lakem2pm</t>
  </si>
  <si>
    <t>Lake Murray 18 Nat Black</t>
  </si>
  <si>
    <t>fj8lowco1pm</t>
  </si>
  <si>
    <t>LC 18N</t>
  </si>
  <si>
    <t>fj8prage1pm</t>
  </si>
  <si>
    <t>PRV 18 Ashley</t>
  </si>
  <si>
    <t>fj8pstri1pm</t>
  </si>
  <si>
    <t>PSVC 18 Amir</t>
  </si>
  <si>
    <t>fj8pstri2pm</t>
  </si>
  <si>
    <t>PSVC 18 Mike</t>
  </si>
  <si>
    <t>fj8srsvc1pm</t>
  </si>
  <si>
    <t>SRS 18 Blue</t>
  </si>
  <si>
    <t>fj8scmid1pm</t>
  </si>
  <si>
    <t>SC Midlands 18 National</t>
  </si>
  <si>
    <t>fj8sumtr1pm</t>
  </si>
  <si>
    <t>Sumter VBC 18 Heath</t>
  </si>
  <si>
    <t>fj8upsvc1pm</t>
  </si>
  <si>
    <t>Upstate 18 Greg</t>
  </si>
  <si>
    <t>fj8upwrd3pm</t>
  </si>
  <si>
    <t>Upward Stars 18 Ami</t>
  </si>
  <si>
    <t>fj8crchv1cr</t>
  </si>
  <si>
    <t>Carolina Chaos 18-1</t>
  </si>
  <si>
    <t>fj8crchv2cr</t>
  </si>
  <si>
    <t>Carolina Chaos 18-2</t>
  </si>
  <si>
    <t>fj8carun4cr</t>
  </si>
  <si>
    <t>Carolina UVC</t>
  </si>
  <si>
    <t>CUVC 18 TL Brooke</t>
  </si>
  <si>
    <t>fj8carun3cr</t>
  </si>
  <si>
    <t>CUVC 18 TL Carrie</t>
  </si>
  <si>
    <t>fj8dovej1cr</t>
  </si>
  <si>
    <t>D.O.V.E. 18s</t>
  </si>
  <si>
    <t>fj8ednvr1cr</t>
  </si>
  <si>
    <t>East Denver 18U Elite</t>
  </si>
  <si>
    <t>fj8shlby8cr</t>
  </si>
  <si>
    <t>shelby - Carolina Chaos18</t>
  </si>
  <si>
    <t>fj8triex1so</t>
  </si>
  <si>
    <t>TEV 18 Marquis</t>
  </si>
  <si>
    <t>fj8atown1pm</t>
  </si>
  <si>
    <t>Atown 18 Black</t>
  </si>
  <si>
    <t>fj8aelit1pm</t>
  </si>
  <si>
    <t>Augusta Elite 18 NOVA</t>
  </si>
  <si>
    <t>fj8aelit2pm</t>
  </si>
  <si>
    <t>Augusta Elite 18 IGNITE</t>
  </si>
  <si>
    <t>fj8cstar1pm</t>
  </si>
  <si>
    <t>Palmetto Starlings 18-1</t>
  </si>
  <si>
    <t>fj8sandh1pm</t>
  </si>
  <si>
    <t>SVBC Blazers 18</t>
  </si>
  <si>
    <t>fj8sumtr2pm</t>
  </si>
  <si>
    <t>Sumter VBC 18 Brett</t>
  </si>
  <si>
    <t>fj8smvbc1cr</t>
  </si>
  <si>
    <t>SMVC Royals 18-1</t>
  </si>
  <si>
    <t>fj8tlife1cr</t>
  </si>
  <si>
    <t>TLVC 18U</t>
  </si>
  <si>
    <t>fj8extvc2so</t>
  </si>
  <si>
    <t>ExtremeVC 18-2</t>
  </si>
  <si>
    <t>fj8kvctn1so</t>
  </si>
  <si>
    <t>Kingsport Volleyball Club</t>
  </si>
  <si>
    <t>KVC 18-1</t>
  </si>
  <si>
    <t>mj3pstri1pm</t>
  </si>
  <si>
    <t>PSVC 13B Kelli</t>
  </si>
  <si>
    <t>fj3erapc4cr</t>
  </si>
  <si>
    <t>Attack Pack</t>
  </si>
  <si>
    <t>Attack Pack 13-4</t>
  </si>
  <si>
    <t>fj5union1pm</t>
  </si>
  <si>
    <t>UCVC</t>
  </si>
  <si>
    <t>UCVC-SC 15-1</t>
  </si>
  <si>
    <t xml:space="preserve">SC Midlands </t>
  </si>
  <si>
    <t>C1VB</t>
  </si>
  <si>
    <t>Foothills</t>
  </si>
  <si>
    <t xml:space="preserve">Columbia SC Starlings </t>
  </si>
  <si>
    <t xml:space="preserve">Foothills </t>
  </si>
  <si>
    <t>Intense</t>
  </si>
  <si>
    <t>7tm AM r1</t>
  </si>
  <si>
    <t>7tm AM r2</t>
  </si>
  <si>
    <t>7tm PM r1</t>
  </si>
  <si>
    <t>7tm PM 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</si>
</sst>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##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10"/>
      <color indexed="55"/>
      <name val="Arial"/>
      <family val="2"/>
    </font>
    <font>
      <sz val="8"/>
      <name val="Arial"/>
      <family val="2"/>
    </font>
    <font>
      <sz val="18"/>
      <name val="Arial"/>
      <family val="2"/>
    </font>
    <font>
      <sz val="5"/>
      <name val="Arial"/>
      <family val="2"/>
    </font>
    <font>
      <sz val="16"/>
      <name val="Arial"/>
      <family val="2"/>
    </font>
    <font>
      <sz val="6"/>
      <name val="Arial"/>
      <family val="2"/>
    </font>
    <font>
      <sz val="2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</borders>
  <cellStyleXfs count="2">
    <xf numFmtId="0" fontId="0" fillId="0" borderId="0"/>
    <xf numFmtId="0" fontId="1" fillId="0" borderId="0"/>
  </cellStyleXfs>
  <cellXfs count="430">
    <xf numFmtId="0" fontId="0" fillId="0" borderId="0" xfId="0"/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3" borderId="1" xfId="0" applyFont="1" applyFill="1" applyBorder="1" applyAlignment="1"/>
    <xf numFmtId="0" fontId="4" fillId="3" borderId="2" xfId="0" applyFont="1" applyFill="1" applyBorder="1" applyAlignment="1"/>
    <xf numFmtId="0" fontId="0" fillId="3" borderId="2" xfId="0" applyFill="1" applyBorder="1" applyAlignment="1"/>
    <xf numFmtId="0" fontId="0" fillId="3" borderId="1" xfId="0" applyFill="1" applyBorder="1" applyAlignment="1"/>
    <xf numFmtId="0" fontId="0" fillId="3" borderId="3" xfId="0" applyFill="1" applyBorder="1" applyAlignment="1"/>
    <xf numFmtId="0" fontId="0" fillId="2" borderId="0" xfId="0" applyFill="1"/>
    <xf numFmtId="0" fontId="2" fillId="0" borderId="4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3" fillId="2" borderId="15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2" fontId="0" fillId="0" borderId="16" xfId="0" applyNumberFormat="1" applyBorder="1" applyAlignment="1">
      <alignment horizontal="center"/>
    </xf>
    <xf numFmtId="0" fontId="7" fillId="2" borderId="0" xfId="0" applyFont="1" applyFill="1" applyBorder="1" applyAlignment="1" applyProtection="1">
      <alignment horizontal="left"/>
    </xf>
    <xf numFmtId="0" fontId="3" fillId="0" borderId="20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9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Border="1" applyAlignment="1"/>
    <xf numFmtId="0" fontId="9" fillId="0" borderId="0" xfId="0" applyFont="1" applyFill="1" applyBorder="1" applyAlignment="1"/>
    <xf numFmtId="0" fontId="2" fillId="6" borderId="16" xfId="0" applyFont="1" applyFill="1" applyBorder="1" applyAlignment="1" applyProtection="1">
      <alignment horizontal="center"/>
      <protection locked="0"/>
    </xf>
    <xf numFmtId="0" fontId="0" fillId="6" borderId="17" xfId="0" applyFill="1" applyBorder="1" applyAlignment="1" applyProtection="1">
      <alignment horizontal="center"/>
      <protection locked="0"/>
    </xf>
    <xf numFmtId="0" fontId="0" fillId="6" borderId="18" xfId="0" applyFill="1" applyBorder="1" applyAlignment="1" applyProtection="1">
      <alignment horizontal="center"/>
      <protection locked="0"/>
    </xf>
    <xf numFmtId="0" fontId="0" fillId="6" borderId="14" xfId="0" applyFill="1" applyBorder="1" applyAlignment="1" applyProtection="1">
      <alignment horizontal="center"/>
      <protection locked="0"/>
    </xf>
    <xf numFmtId="2" fontId="0" fillId="6" borderId="16" xfId="0" applyNumberFormat="1" applyFill="1" applyBorder="1" applyAlignment="1">
      <alignment horizontal="center"/>
    </xf>
    <xf numFmtId="2" fontId="0" fillId="6" borderId="14" xfId="0" applyNumberFormat="1" applyFill="1" applyBorder="1" applyAlignment="1">
      <alignment horizontal="center"/>
    </xf>
    <xf numFmtId="0" fontId="0" fillId="2" borderId="0" xfId="0" applyFill="1" applyAlignment="1"/>
    <xf numFmtId="0" fontId="9" fillId="2" borderId="0" xfId="0" applyFont="1" applyFill="1"/>
    <xf numFmtId="0" fontId="2" fillId="6" borderId="40" xfId="0" applyFont="1" applyFill="1" applyBorder="1" applyAlignment="1" applyProtection="1">
      <alignment horizontal="center"/>
      <protection locked="0"/>
    </xf>
    <xf numFmtId="0" fontId="0" fillId="6" borderId="41" xfId="0" applyFill="1" applyBorder="1" applyAlignment="1" applyProtection="1">
      <alignment horizontal="center"/>
      <protection locked="0"/>
    </xf>
    <xf numFmtId="0" fontId="0" fillId="6" borderId="42" xfId="0" applyFill="1" applyBorder="1" applyAlignment="1" applyProtection="1">
      <alignment horizontal="center"/>
      <protection locked="0"/>
    </xf>
    <xf numFmtId="0" fontId="0" fillId="6" borderId="43" xfId="0" applyFill="1" applyBorder="1" applyAlignment="1" applyProtection="1">
      <alignment horizontal="center"/>
      <protection locked="0"/>
    </xf>
    <xf numFmtId="2" fontId="0" fillId="6" borderId="40" xfId="0" applyNumberFormat="1" applyFill="1" applyBorder="1" applyAlignment="1">
      <alignment horizontal="center"/>
    </xf>
    <xf numFmtId="2" fontId="0" fillId="6" borderId="44" xfId="0" applyNumberFormat="1" applyFill="1" applyBorder="1" applyAlignment="1">
      <alignment horizontal="center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0" fillId="3" borderId="54" xfId="0" applyFill="1" applyBorder="1"/>
    <xf numFmtId="0" fontId="0" fillId="5" borderId="17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5" fillId="3" borderId="17" xfId="0" applyFont="1" applyFill="1" applyBorder="1" applyProtection="1">
      <protection locked="0"/>
    </xf>
    <xf numFmtId="0" fontId="5" fillId="2" borderId="17" xfId="0" applyFont="1" applyFill="1" applyBorder="1" applyAlignment="1">
      <alignment horizontal="center"/>
    </xf>
    <xf numFmtId="0" fontId="5" fillId="3" borderId="17" xfId="0" applyFont="1" applyFill="1" applyBorder="1" applyAlignment="1" applyProtection="1">
      <alignment horizontal="left"/>
      <protection locked="0"/>
    </xf>
    <xf numFmtId="0" fontId="0" fillId="3" borderId="54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7" fillId="0" borderId="18" xfId="0" applyFont="1" applyFill="1" applyBorder="1" applyProtection="1">
      <protection locked="0"/>
    </xf>
    <xf numFmtId="0" fontId="0" fillId="2" borderId="53" xfId="0" applyFill="1" applyBorder="1" applyAlignment="1">
      <alignment horizontal="center"/>
    </xf>
    <xf numFmtId="0" fontId="7" fillId="0" borderId="54" xfId="0" applyFont="1" applyFill="1" applyBorder="1" applyAlignment="1" applyProtection="1">
      <alignment horizontal="left"/>
      <protection locked="0"/>
    </xf>
    <xf numFmtId="0" fontId="0" fillId="0" borderId="54" xfId="0" applyBorder="1" applyAlignment="1">
      <alignment horizontal="center"/>
    </xf>
    <xf numFmtId="0" fontId="10" fillId="2" borderId="0" xfId="0" applyFont="1" applyFill="1"/>
    <xf numFmtId="0" fontId="0" fillId="0" borderId="0" xfId="0" applyFill="1" applyProtection="1">
      <protection hidden="1"/>
    </xf>
    <xf numFmtId="0" fontId="0" fillId="5" borderId="0" xfId="0" applyFill="1" applyProtection="1">
      <protection hidden="1"/>
    </xf>
    <xf numFmtId="0" fontId="0" fillId="5" borderId="0" xfId="0" applyFill="1" applyAlignment="1" applyProtection="1">
      <alignment horizontal="left"/>
      <protection hidden="1"/>
    </xf>
    <xf numFmtId="0" fontId="0" fillId="0" borderId="0" xfId="0" applyFill="1" applyAlignment="1" applyProtection="1">
      <alignment horizontal="left"/>
      <protection hidden="1"/>
    </xf>
    <xf numFmtId="0" fontId="0" fillId="0" borderId="0" xfId="0" applyFill="1" applyAlignment="1" applyProtection="1">
      <alignment wrapText="1"/>
      <protection hidden="1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3" fillId="0" borderId="0" xfId="0" applyFont="1"/>
    <xf numFmtId="2" fontId="13" fillId="0" borderId="0" xfId="0" applyNumberFormat="1" applyFont="1"/>
    <xf numFmtId="2" fontId="0" fillId="0" borderId="0" xfId="0" applyNumberFormat="1"/>
    <xf numFmtId="2" fontId="0" fillId="0" borderId="0" xfId="0" applyNumberFormat="1" applyAlignment="1" applyProtection="1">
      <alignment horizontal="left"/>
    </xf>
    <xf numFmtId="2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Protection="1">
      <protection hidden="1"/>
    </xf>
    <xf numFmtId="2" fontId="0" fillId="0" borderId="0" xfId="0" applyNumberFormat="1" applyAlignment="1" applyProtection="1">
      <alignment horizontal="center"/>
      <protection hidden="1"/>
    </xf>
    <xf numFmtId="1" fontId="13" fillId="0" borderId="0" xfId="0" applyNumberFormat="1" applyFont="1"/>
    <xf numFmtId="1" fontId="0" fillId="0" borderId="0" xfId="0" applyNumberFormat="1"/>
    <xf numFmtId="1" fontId="0" fillId="0" borderId="0" xfId="0" applyNumberFormat="1" applyAlignment="1" applyProtection="1">
      <alignment horizontal="left"/>
    </xf>
    <xf numFmtId="1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Protection="1">
      <protection hidden="1"/>
    </xf>
    <xf numFmtId="1" fontId="0" fillId="0" borderId="0" xfId="0" applyNumberFormat="1" applyAlignment="1" applyProtection="1">
      <alignment horizontal="center"/>
      <protection hidden="1"/>
    </xf>
    <xf numFmtId="0" fontId="0" fillId="0" borderId="46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0" xfId="0" applyFill="1" applyProtection="1">
      <protection locked="0"/>
    </xf>
    <xf numFmtId="0" fontId="15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1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46" xfId="0" applyBorder="1"/>
    <xf numFmtId="0" fontId="11" fillId="0" borderId="0" xfId="0" applyFont="1" applyBorder="1" applyAlignment="1" applyProtection="1">
      <alignment horizontal="center"/>
      <protection locked="0"/>
    </xf>
    <xf numFmtId="0" fontId="0" fillId="0" borderId="56" xfId="0" applyBorder="1"/>
    <xf numFmtId="0" fontId="0" fillId="0" borderId="0" xfId="0" applyBorder="1" applyAlignment="1" applyProtection="1">
      <protection locked="0"/>
    </xf>
    <xf numFmtId="0" fontId="0" fillId="0" borderId="0" xfId="0" applyBorder="1" applyProtection="1">
      <protection locked="0"/>
    </xf>
    <xf numFmtId="0" fontId="15" fillId="0" borderId="0" xfId="0" applyFont="1" applyBorder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0" fontId="0" fillId="0" borderId="0" xfId="0" applyBorder="1" applyAlignment="1"/>
    <xf numFmtId="0" fontId="0" fillId="0" borderId="56" xfId="0" applyBorder="1" applyAlignment="1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/>
    <xf numFmtId="1" fontId="0" fillId="0" borderId="0" xfId="0" applyNumberForma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center"/>
    </xf>
    <xf numFmtId="0" fontId="3" fillId="3" borderId="16" xfId="0" applyFont="1" applyFill="1" applyBorder="1" applyAlignment="1" applyProtection="1">
      <alignment horizontal="right"/>
      <protection locked="0"/>
    </xf>
    <xf numFmtId="0" fontId="3" fillId="2" borderId="17" xfId="0" applyFont="1" applyFill="1" applyBorder="1" applyAlignment="1">
      <alignment horizontal="center"/>
    </xf>
    <xf numFmtId="0" fontId="3" fillId="3" borderId="17" xfId="0" applyFont="1" applyFill="1" applyBorder="1" applyAlignment="1" applyProtection="1">
      <alignment horizontal="left"/>
      <protection locked="0"/>
    </xf>
    <xf numFmtId="0" fontId="3" fillId="3" borderId="17" xfId="0" applyFont="1" applyFill="1" applyBorder="1" applyProtection="1">
      <protection locked="0"/>
    </xf>
    <xf numFmtId="0" fontId="3" fillId="3" borderId="17" xfId="0" applyFont="1" applyFill="1" applyBorder="1" applyProtection="1"/>
    <xf numFmtId="0" fontId="3" fillId="2" borderId="17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left"/>
    </xf>
    <xf numFmtId="0" fontId="3" fillId="3" borderId="58" xfId="0" applyFont="1" applyFill="1" applyBorder="1" applyAlignment="1" applyProtection="1">
      <alignment horizontal="right"/>
      <protection locked="0"/>
    </xf>
    <xf numFmtId="0" fontId="3" fillId="2" borderId="53" xfId="0" applyFont="1" applyFill="1" applyBorder="1" applyAlignment="1">
      <alignment horizontal="center"/>
    </xf>
    <xf numFmtId="0" fontId="3" fillId="3" borderId="53" xfId="0" applyFont="1" applyFill="1" applyBorder="1" applyAlignment="1" applyProtection="1">
      <alignment horizontal="left"/>
      <protection locked="0"/>
    </xf>
    <xf numFmtId="0" fontId="3" fillId="0" borderId="28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58" xfId="0" applyFill="1" applyBorder="1" applyProtection="1">
      <protection locked="0"/>
    </xf>
    <xf numFmtId="0" fontId="0" fillId="0" borderId="54" xfId="0" applyFill="1" applyBorder="1" applyAlignment="1" applyProtection="1">
      <alignment horizontal="left"/>
      <protection locked="0"/>
    </xf>
    <xf numFmtId="0" fontId="0" fillId="0" borderId="18" xfId="0" applyFill="1" applyBorder="1" applyProtection="1">
      <protection locked="0"/>
    </xf>
    <xf numFmtId="0" fontId="0" fillId="0" borderId="59" xfId="0" applyFill="1" applyBorder="1" applyAlignment="1" applyProtection="1">
      <alignment horizontal="left"/>
      <protection locked="0"/>
    </xf>
    <xf numFmtId="0" fontId="0" fillId="0" borderId="0" xfId="0" applyFill="1" applyBorder="1" applyAlignment="1"/>
    <xf numFmtId="0" fontId="0" fillId="0" borderId="31" xfId="0" applyFill="1" applyBorder="1" applyProtection="1">
      <protection locked="0"/>
    </xf>
    <xf numFmtId="0" fontId="0" fillId="2" borderId="32" xfId="0" applyFill="1" applyBorder="1" applyAlignment="1">
      <alignment horizontal="center"/>
    </xf>
    <xf numFmtId="0" fontId="0" fillId="0" borderId="33" xfId="0" applyFill="1" applyBorder="1" applyAlignment="1" applyProtection="1">
      <alignment horizontal="left"/>
      <protection locked="0"/>
    </xf>
    <xf numFmtId="0" fontId="0" fillId="0" borderId="60" xfId="0" applyFill="1" applyBorder="1" applyProtection="1">
      <protection locked="0"/>
    </xf>
    <xf numFmtId="0" fontId="0" fillId="0" borderId="61" xfId="0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/>
    </xf>
    <xf numFmtId="0" fontId="0" fillId="0" borderId="0" xfId="0" applyFill="1" applyAlignment="1" applyProtection="1">
      <alignment horizontal="center"/>
      <protection hidden="1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left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/>
    </xf>
    <xf numFmtId="0" fontId="3" fillId="0" borderId="5" xfId="0" applyFont="1" applyBorder="1" applyAlignment="1">
      <alignment horizontal="center"/>
    </xf>
    <xf numFmtId="0" fontId="0" fillId="2" borderId="0" xfId="0" applyFill="1" applyAlignment="1" applyProtection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center"/>
    </xf>
    <xf numFmtId="0" fontId="6" fillId="3" borderId="1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12" fillId="0" borderId="2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0" fontId="0" fillId="0" borderId="28" xfId="0" applyNumberFormat="1" applyBorder="1" applyAlignment="1">
      <alignment horizontal="center" vertical="center"/>
    </xf>
    <xf numFmtId="10" fontId="0" fillId="0" borderId="15" xfId="0" applyNumberFormat="1" applyBorder="1" applyAlignment="1">
      <alignment horizontal="center" vertical="center"/>
    </xf>
    <xf numFmtId="10" fontId="0" fillId="0" borderId="35" xfId="0" applyNumberFormat="1" applyBorder="1" applyAlignment="1">
      <alignment horizontal="center" vertical="center"/>
    </xf>
    <xf numFmtId="10" fontId="0" fillId="0" borderId="19" xfId="0" applyNumberFormat="1" applyBorder="1" applyAlignment="1">
      <alignment horizontal="center" vertical="center"/>
    </xf>
    <xf numFmtId="164" fontId="0" fillId="0" borderId="28" xfId="0" applyNumberFormat="1" applyBorder="1" applyAlignment="1" applyProtection="1">
      <alignment horizontal="center" vertical="center"/>
    </xf>
    <xf numFmtId="164" fontId="0" fillId="0" borderId="15" xfId="0" applyNumberFormat="1" applyBorder="1" applyAlignment="1" applyProtection="1">
      <alignment horizontal="center" vertical="center"/>
    </xf>
    <xf numFmtId="164" fontId="0" fillId="0" borderId="29" xfId="0" applyNumberFormat="1" applyBorder="1" applyAlignment="1" applyProtection="1">
      <alignment horizontal="center" vertical="center"/>
    </xf>
    <xf numFmtId="164" fontId="0" fillId="0" borderId="35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164" fontId="0" fillId="0" borderId="36" xfId="0" applyNumberForma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5" borderId="28" xfId="0" applyFont="1" applyFill="1" applyBorder="1" applyAlignment="1" applyProtection="1">
      <alignment horizontal="center" vertical="center"/>
      <protection locked="0"/>
    </xf>
    <xf numFmtId="0" fontId="12" fillId="5" borderId="29" xfId="0" applyFont="1" applyFill="1" applyBorder="1" applyAlignment="1" applyProtection="1">
      <alignment horizontal="center" vertical="center"/>
      <protection locked="0"/>
    </xf>
    <xf numFmtId="0" fontId="12" fillId="5" borderId="35" xfId="0" applyFont="1" applyFill="1" applyBorder="1" applyAlignment="1" applyProtection="1">
      <alignment horizontal="center" vertical="center"/>
      <protection locked="0"/>
    </xf>
    <xf numFmtId="0" fontId="12" fillId="5" borderId="36" xfId="0" applyFont="1" applyFill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</xf>
    <xf numFmtId="0" fontId="11" fillId="0" borderId="38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11" fillId="0" borderId="31" xfId="0" applyFont="1" applyBorder="1" applyAlignment="1" applyProtection="1">
      <alignment horizontal="center" vertical="center"/>
    </xf>
    <xf numFmtId="0" fontId="11" fillId="0" borderId="32" xfId="0" applyFont="1" applyBorder="1" applyAlignment="1" applyProtection="1">
      <alignment horizontal="center" vertical="center"/>
    </xf>
    <xf numFmtId="0" fontId="11" fillId="0" borderId="33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39" xfId="0" applyFont="1" applyBorder="1" applyAlignment="1" applyProtection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7" borderId="28" xfId="0" applyFont="1" applyFill="1" applyBorder="1" applyAlignment="1" applyProtection="1">
      <alignment horizontal="center" vertical="center" wrapText="1"/>
    </xf>
    <xf numFmtId="0" fontId="9" fillId="7" borderId="15" xfId="0" applyFont="1" applyFill="1" applyBorder="1" applyAlignment="1" applyProtection="1">
      <alignment horizontal="center" vertical="center" wrapText="1"/>
    </xf>
    <xf numFmtId="0" fontId="9" fillId="7" borderId="29" xfId="0" applyFont="1" applyFill="1" applyBorder="1" applyAlignment="1" applyProtection="1">
      <alignment horizontal="center" vertical="center" wrapText="1"/>
    </xf>
    <xf numFmtId="0" fontId="9" fillId="7" borderId="35" xfId="0" applyFont="1" applyFill="1" applyBorder="1" applyAlignment="1" applyProtection="1">
      <alignment horizontal="center" vertical="center" wrapText="1"/>
    </xf>
    <xf numFmtId="0" fontId="9" fillId="7" borderId="19" xfId="0" applyFont="1" applyFill="1" applyBorder="1" applyAlignment="1" applyProtection="1">
      <alignment horizontal="center" vertical="center" wrapText="1"/>
    </xf>
    <xf numFmtId="0" fontId="9" fillId="7" borderId="36" xfId="0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</xf>
    <xf numFmtId="0" fontId="11" fillId="0" borderId="41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6" fillId="8" borderId="47" xfId="0" applyFont="1" applyFill="1" applyBorder="1" applyAlignment="1" applyProtection="1">
      <alignment horizontal="left" vertical="center" wrapText="1"/>
      <protection locked="0"/>
    </xf>
    <xf numFmtId="0" fontId="6" fillId="8" borderId="48" xfId="0" applyFont="1" applyFill="1" applyBorder="1" applyAlignment="1" applyProtection="1">
      <alignment vertical="center" wrapText="1"/>
      <protection locked="0"/>
    </xf>
    <xf numFmtId="0" fontId="6" fillId="8" borderId="49" xfId="0" applyFont="1" applyFill="1" applyBorder="1" applyAlignment="1" applyProtection="1">
      <alignment vertical="center" wrapText="1"/>
      <protection locked="0"/>
    </xf>
    <xf numFmtId="20" fontId="0" fillId="0" borderId="11" xfId="0" applyNumberFormat="1" applyFill="1" applyBorder="1" applyAlignment="1" applyProtection="1">
      <alignment horizontal="center"/>
      <protection locked="0"/>
    </xf>
    <xf numFmtId="0" fontId="0" fillId="0" borderId="50" xfId="0" applyFill="1" applyBorder="1" applyAlignment="1" applyProtection="1">
      <alignment horizontal="center"/>
      <protection locked="0"/>
    </xf>
    <xf numFmtId="0" fontId="0" fillId="0" borderId="51" xfId="0" applyFill="1" applyBorder="1" applyAlignment="1" applyProtection="1">
      <alignment horizontal="center"/>
      <protection locked="0"/>
    </xf>
    <xf numFmtId="0" fontId="0" fillId="2" borderId="52" xfId="0" applyFill="1" applyBorder="1" applyAlignment="1" applyProtection="1">
      <alignment horizontal="center" vertical="center" textRotation="90"/>
      <protection locked="0"/>
    </xf>
    <xf numFmtId="0" fontId="0" fillId="2" borderId="55" xfId="0" applyFill="1" applyBorder="1" applyAlignment="1" applyProtection="1">
      <alignment horizontal="center" vertical="center" textRotation="90"/>
      <protection locked="0"/>
    </xf>
    <xf numFmtId="0" fontId="0" fillId="2" borderId="10" xfId="0" applyFill="1" applyBorder="1" applyAlignment="1" applyProtection="1">
      <alignment horizontal="center" vertical="center" textRotation="90"/>
      <protection locked="0"/>
    </xf>
    <xf numFmtId="0" fontId="3" fillId="9" borderId="46" xfId="0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56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center" wrapText="1"/>
    </xf>
    <xf numFmtId="20" fontId="0" fillId="0" borderId="18" xfId="0" applyNumberFormat="1" applyFill="1" applyBorder="1" applyAlignment="1" applyProtection="1">
      <alignment horizontal="center"/>
      <protection locked="0"/>
    </xf>
    <xf numFmtId="20" fontId="0" fillId="0" borderId="53" xfId="0" applyNumberFormat="1" applyFill="1" applyBorder="1" applyAlignment="1" applyProtection="1">
      <alignment horizontal="center"/>
      <protection locked="0"/>
    </xf>
    <xf numFmtId="20" fontId="0" fillId="0" borderId="54" xfId="0" applyNumberFormat="1" applyFill="1" applyBorder="1" applyAlignment="1" applyProtection="1">
      <alignment horizontal="center"/>
      <protection locked="0"/>
    </xf>
    <xf numFmtId="0" fontId="3" fillId="5" borderId="18" xfId="0" applyFont="1" applyFill="1" applyBorder="1" applyAlignment="1">
      <alignment horizontal="center"/>
    </xf>
    <xf numFmtId="0" fontId="3" fillId="5" borderId="53" xfId="0" applyFont="1" applyFill="1" applyBorder="1" applyAlignment="1">
      <alignment horizontal="center"/>
    </xf>
    <xf numFmtId="0" fontId="3" fillId="5" borderId="54" xfId="0" applyFont="1" applyFill="1" applyBorder="1" applyAlignment="1">
      <alignment horizontal="center"/>
    </xf>
    <xf numFmtId="0" fontId="5" fillId="5" borderId="18" xfId="0" applyFont="1" applyFill="1" applyBorder="1" applyAlignment="1" applyProtection="1">
      <alignment horizontal="center"/>
      <protection locked="0"/>
    </xf>
    <xf numFmtId="0" fontId="5" fillId="5" borderId="53" xfId="0" applyFont="1" applyFill="1" applyBorder="1" applyAlignment="1" applyProtection="1">
      <alignment horizontal="center"/>
      <protection locked="0"/>
    </xf>
    <xf numFmtId="0" fontId="5" fillId="5" borderId="54" xfId="0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 wrapText="1"/>
      <protection hidden="1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3" borderId="52" xfId="0" applyFill="1" applyBorder="1" applyAlignment="1" applyProtection="1">
      <alignment horizontal="center" vertical="center" textRotation="90"/>
      <protection locked="0"/>
    </xf>
    <xf numFmtId="0" fontId="0" fillId="3" borderId="55" xfId="0" applyFill="1" applyBorder="1" applyAlignment="1" applyProtection="1">
      <alignment horizontal="center" vertical="center" textRotation="90"/>
      <protection locked="0"/>
    </xf>
    <xf numFmtId="0" fontId="0" fillId="3" borderId="10" xfId="0" applyFill="1" applyBorder="1" applyAlignment="1" applyProtection="1">
      <alignment horizontal="center" vertical="center" textRotation="90"/>
      <protection locked="0"/>
    </xf>
    <xf numFmtId="0" fontId="14" fillId="0" borderId="0" xfId="0" applyFont="1" applyAlignment="1">
      <alignment horizontal="center"/>
    </xf>
    <xf numFmtId="0" fontId="11" fillId="10" borderId="22" xfId="0" applyFont="1" applyFill="1" applyBorder="1" applyAlignment="1">
      <alignment horizontal="center" wrapText="1"/>
    </xf>
    <xf numFmtId="0" fontId="11" fillId="10" borderId="30" xfId="0" applyFont="1" applyFill="1" applyBorder="1" applyAlignment="1">
      <alignment horizontal="center" wrapText="1"/>
    </xf>
    <xf numFmtId="0" fontId="0" fillId="11" borderId="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5" fillId="0" borderId="13" xfId="0" applyFont="1" applyFill="1" applyBorder="1" applyAlignment="1">
      <alignment horizontal="center" shrinkToFit="1"/>
    </xf>
    <xf numFmtId="0" fontId="15" fillId="0" borderId="39" xfId="0" applyFont="1" applyFill="1" applyBorder="1" applyAlignment="1">
      <alignment horizontal="center" shrinkToFit="1"/>
    </xf>
    <xf numFmtId="0" fontId="15" fillId="0" borderId="39" xfId="0" applyFont="1" applyFill="1" applyBorder="1" applyAlignment="1">
      <alignment horizontal="center"/>
    </xf>
    <xf numFmtId="0" fontId="15" fillId="0" borderId="57" xfId="0" applyFont="1" applyFill="1" applyBorder="1" applyAlignment="1">
      <alignment horizontal="center"/>
    </xf>
    <xf numFmtId="0" fontId="15" fillId="0" borderId="37" xfId="0" applyFont="1" applyFill="1" applyBorder="1" applyAlignment="1">
      <alignment horizontal="center" shrinkToFit="1"/>
    </xf>
    <xf numFmtId="0" fontId="15" fillId="0" borderId="38" xfId="0" applyFont="1" applyFill="1" applyBorder="1" applyAlignment="1">
      <alignment horizontal="center" shrinkToFit="1"/>
    </xf>
    <xf numFmtId="0" fontId="15" fillId="0" borderId="38" xfId="0" applyFont="1" applyFill="1" applyBorder="1" applyAlignment="1">
      <alignment horizontal="center"/>
    </xf>
    <xf numFmtId="0" fontId="15" fillId="0" borderId="43" xfId="0" applyFont="1" applyFill="1" applyBorder="1" applyAlignment="1">
      <alignment horizontal="center"/>
    </xf>
    <xf numFmtId="0" fontId="15" fillId="2" borderId="37" xfId="0" applyFont="1" applyFill="1" applyBorder="1" applyAlignment="1">
      <alignment horizontal="center" shrinkToFit="1"/>
    </xf>
    <xf numFmtId="0" fontId="15" fillId="2" borderId="38" xfId="0" applyFont="1" applyFill="1" applyBorder="1" applyAlignment="1">
      <alignment horizontal="center" shrinkToFit="1"/>
    </xf>
    <xf numFmtId="0" fontId="0" fillId="0" borderId="19" xfId="0" applyBorder="1" applyAlignment="1">
      <alignment horizontal="center" shrinkToFit="1"/>
    </xf>
    <xf numFmtId="0" fontId="11" fillId="0" borderId="15" xfId="0" applyFont="1" applyBorder="1" applyAlignment="1" applyProtection="1">
      <alignment horizontal="center" shrinkToFit="1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56" xfId="0" applyFont="1" applyBorder="1" applyAlignment="1" applyProtection="1">
      <alignment horizontal="center"/>
      <protection locked="0"/>
    </xf>
    <xf numFmtId="0" fontId="15" fillId="2" borderId="38" xfId="0" applyFont="1" applyFill="1" applyBorder="1" applyAlignment="1">
      <alignment horizontal="center"/>
    </xf>
    <xf numFmtId="0" fontId="15" fillId="2" borderId="4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3" fillId="12" borderId="0" xfId="0" applyFont="1" applyFill="1" applyAlignment="1">
      <alignment horizontal="center"/>
    </xf>
    <xf numFmtId="0" fontId="0" fillId="0" borderId="36" xfId="0" applyBorder="1" applyAlignment="1">
      <alignment horizontal="center" shrinkToFit="1"/>
    </xf>
    <xf numFmtId="0" fontId="0" fillId="0" borderId="19" xfId="0" applyBorder="1" applyAlignment="1">
      <alignment horizontal="center"/>
    </xf>
    <xf numFmtId="0" fontId="0" fillId="0" borderId="36" xfId="0" applyBorder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 shrinkToFit="1"/>
      <protection locked="0"/>
    </xf>
    <xf numFmtId="0" fontId="11" fillId="0" borderId="56" xfId="0" applyFont="1" applyBorder="1" applyAlignment="1" applyProtection="1">
      <alignment horizontal="center" shrinkToFit="1"/>
      <protection locked="0"/>
    </xf>
    <xf numFmtId="0" fontId="0" fillId="0" borderId="46" xfId="0" applyBorder="1" applyAlignment="1">
      <alignment horizontal="left" shrinkToFit="1"/>
    </xf>
    <xf numFmtId="0" fontId="0" fillId="0" borderId="0" xfId="0" applyBorder="1" applyAlignment="1">
      <alignment horizontal="left" shrinkToFit="1"/>
    </xf>
    <xf numFmtId="0" fontId="15" fillId="0" borderId="0" xfId="0" applyFont="1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46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15" fillId="0" borderId="0" xfId="0" applyFont="1" applyBorder="1" applyAlignment="1">
      <alignment horizontal="center"/>
    </xf>
    <xf numFmtId="0" fontId="0" fillId="0" borderId="46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center" shrinkToFit="1"/>
    </xf>
    <xf numFmtId="0" fontId="0" fillId="0" borderId="19" xfId="0" applyBorder="1" applyAlignment="1" applyProtection="1">
      <alignment horizontal="center" shrinkToFit="1"/>
    </xf>
    <xf numFmtId="0" fontId="15" fillId="0" borderId="56" xfId="0" applyFont="1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13" borderId="1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20" fontId="0" fillId="0" borderId="23" xfId="0" applyNumberFormat="1" applyFill="1" applyBorder="1" applyAlignment="1" applyProtection="1">
      <alignment horizontal="center"/>
      <protection locked="0"/>
    </xf>
    <xf numFmtId="0" fontId="0" fillId="0" borderId="24" xfId="0" applyFill="1" applyBorder="1" applyAlignment="1" applyProtection="1">
      <alignment horizontal="center"/>
      <protection locked="0"/>
    </xf>
    <xf numFmtId="0" fontId="0" fillId="0" borderId="25" xfId="0" applyFill="1" applyBorder="1" applyAlignment="1" applyProtection="1">
      <alignment horizontal="center"/>
      <protection locked="0"/>
    </xf>
    <xf numFmtId="20" fontId="0" fillId="0" borderId="26" xfId="0" applyNumberFormat="1" applyFill="1" applyBorder="1" applyAlignment="1" applyProtection="1">
      <alignment horizontal="center"/>
      <protection locked="0"/>
    </xf>
    <xf numFmtId="0" fontId="0" fillId="0" borderId="27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" fontId="0" fillId="0" borderId="58" xfId="0" applyNumberFormat="1" applyFill="1" applyBorder="1" applyAlignment="1" applyProtection="1">
      <alignment horizontal="center"/>
      <protection locked="0"/>
    </xf>
    <xf numFmtId="1" fontId="0" fillId="0" borderId="53" xfId="0" applyNumberFormat="1" applyFill="1" applyBorder="1" applyAlignment="1" applyProtection="1">
      <alignment horizontal="center"/>
      <protection locked="0"/>
    </xf>
    <xf numFmtId="1" fontId="0" fillId="0" borderId="54" xfId="0" applyNumberFormat="1" applyFill="1" applyBorder="1" applyAlignment="1" applyProtection="1">
      <alignment horizontal="center"/>
      <protection locked="0"/>
    </xf>
    <xf numFmtId="1" fontId="0" fillId="0" borderId="18" xfId="0" applyNumberFormat="1" applyFill="1" applyBorder="1" applyAlignment="1" applyProtection="1">
      <alignment horizontal="center"/>
      <protection locked="0"/>
    </xf>
    <xf numFmtId="1" fontId="0" fillId="0" borderId="59" xfId="0" applyNumberForma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56" xfId="0" applyFont="1" applyBorder="1" applyAlignment="1">
      <alignment horizontal="center"/>
    </xf>
    <xf numFmtId="0" fontId="3" fillId="5" borderId="5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3" fillId="5" borderId="58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16" fillId="4" borderId="28" xfId="0" applyFont="1" applyFill="1" applyBorder="1" applyAlignment="1" applyProtection="1">
      <alignment horizontal="center" vertical="center"/>
    </xf>
    <xf numFmtId="0" fontId="16" fillId="4" borderId="15" xfId="0" applyFont="1" applyFill="1" applyBorder="1" applyAlignment="1" applyProtection="1">
      <alignment horizontal="center" vertical="center"/>
    </xf>
    <xf numFmtId="0" fontId="16" fillId="4" borderId="29" xfId="0" applyFont="1" applyFill="1" applyBorder="1" applyAlignment="1" applyProtection="1">
      <alignment horizontal="center" vertical="center"/>
    </xf>
    <xf numFmtId="0" fontId="16" fillId="4" borderId="46" xfId="0" applyFont="1" applyFill="1" applyBorder="1" applyAlignment="1" applyProtection="1">
      <alignment horizontal="center" vertical="center"/>
    </xf>
    <xf numFmtId="0" fontId="16" fillId="4" borderId="0" xfId="0" applyFont="1" applyFill="1" applyBorder="1" applyAlignment="1" applyProtection="1">
      <alignment horizontal="center" vertical="center"/>
    </xf>
    <xf numFmtId="0" fontId="16" fillId="4" borderId="56" xfId="0" applyFont="1" applyFill="1" applyBorder="1" applyAlignment="1" applyProtection="1">
      <alignment horizontal="center" vertical="center"/>
    </xf>
    <xf numFmtId="0" fontId="16" fillId="4" borderId="35" xfId="0" applyFont="1" applyFill="1" applyBorder="1" applyAlignment="1" applyProtection="1">
      <alignment horizontal="center" vertical="center"/>
    </xf>
    <xf numFmtId="0" fontId="16" fillId="4" borderId="19" xfId="0" applyFont="1" applyFill="1" applyBorder="1" applyAlignment="1" applyProtection="1">
      <alignment horizontal="center" vertical="center"/>
    </xf>
    <xf numFmtId="0" fontId="16" fillId="4" borderId="36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62" xfId="0" applyFont="1" applyBorder="1" applyAlignment="1" applyProtection="1">
      <alignment vertical="top"/>
      <protection locked="0"/>
    </xf>
    <xf numFmtId="0" fontId="0" fillId="14" borderId="0" xfId="1" applyFont="1" applyFill="1" applyBorder="1"/>
    <xf numFmtId="0" fontId="1" fillId="14" borderId="0" xfId="1" applyFill="1" applyBorder="1"/>
    <xf numFmtId="165" fontId="1" fillId="14" borderId="0" xfId="1" applyNumberFormat="1" applyFill="1" applyBorder="1"/>
    <xf numFmtId="0" fontId="0" fillId="14" borderId="0" xfId="1" applyFont="1" applyFill="1" applyBorder="1" applyAlignment="1">
      <alignment wrapText="1"/>
    </xf>
    <xf numFmtId="0" fontId="1" fillId="0" borderId="0" xfId="1" applyNumberFormat="1" applyFont="1" applyFill="1" applyBorder="1" applyAlignment="1" applyProtection="1">
      <alignment horizontal="left" vertical="center"/>
    </xf>
    <xf numFmtId="0" fontId="1" fillId="0" borderId="0" xfId="1"/>
    <xf numFmtId="0" fontId="0" fillId="0" borderId="62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1" fillId="14" borderId="62" xfId="1" applyFill="1" applyBorder="1"/>
    <xf numFmtId="0" fontId="0" fillId="14" borderId="62" xfId="1" applyFont="1" applyFill="1" applyBorder="1"/>
    <xf numFmtId="0" fontId="0" fillId="0" borderId="0" xfId="0" applyFont="1" applyBorder="1" applyAlignment="1" applyProtection="1">
      <alignment vertical="top"/>
      <protection locked="0"/>
    </xf>
  </cellXfs>
  <cellStyles count="2">
    <cellStyle name="Normal" xfId="0" builtinId="0"/>
    <cellStyle name="Normal 9" xfId="1"/>
  </cellStyles>
  <dxfs count="2151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7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0</xdr:row>
      <xdr:rowOff>0</xdr:rowOff>
    </xdr:from>
    <xdr:to>
      <xdr:col>11</xdr:col>
      <xdr:colOff>381000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905000" y="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571500</xdr:colOff>
      <xdr:row>0</xdr:row>
      <xdr:rowOff>0</xdr:rowOff>
    </xdr:from>
    <xdr:to>
      <xdr:col>13</xdr:col>
      <xdr:colOff>381000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2305050" y="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571500</xdr:colOff>
      <xdr:row>0</xdr:row>
      <xdr:rowOff>0</xdr:rowOff>
    </xdr:from>
    <xdr:to>
      <xdr:col>15</xdr:col>
      <xdr:colOff>381000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3048000" y="0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36</xdr:col>
      <xdr:colOff>57150</xdr:colOff>
      <xdr:row>223</xdr:row>
      <xdr:rowOff>142875</xdr:rowOff>
    </xdr:from>
    <xdr:to>
      <xdr:col>37</xdr:col>
      <xdr:colOff>152400</xdr:colOff>
      <xdr:row>233</xdr:row>
      <xdr:rowOff>66675</xdr:rowOff>
    </xdr:to>
    <xdr:pic>
      <xdr:nvPicPr>
        <xdr:cNvPr id="5" name="Picture 6" descr="SCMAP-USAVOLLEYBALL_c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20135850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106680</xdr:colOff>
          <xdr:row>13</xdr:row>
          <xdr:rowOff>7620</xdr:rowOff>
        </xdr:from>
        <xdr:to>
          <xdr:col>42</xdr:col>
          <xdr:colOff>228600</xdr:colOff>
          <xdr:row>16</xdr:row>
          <xdr:rowOff>106680</xdr:rowOff>
        </xdr:to>
        <xdr:sp macro="" textlink="">
          <xdr:nvSpPr>
            <xdr:cNvPr id="1025" name="Pool1RecalcFinish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106680</xdr:colOff>
          <xdr:row>98</xdr:row>
          <xdr:rowOff>7620</xdr:rowOff>
        </xdr:from>
        <xdr:to>
          <xdr:col>42</xdr:col>
          <xdr:colOff>228600</xdr:colOff>
          <xdr:row>101</xdr:row>
          <xdr:rowOff>106680</xdr:rowOff>
        </xdr:to>
        <xdr:sp macro="" textlink="">
          <xdr:nvSpPr>
            <xdr:cNvPr id="1026" name="Pool2RecalcFinish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0</xdr:row>
      <xdr:rowOff>0</xdr:rowOff>
    </xdr:from>
    <xdr:to>
      <xdr:col>11</xdr:col>
      <xdr:colOff>381000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905000" y="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571500</xdr:colOff>
      <xdr:row>0</xdr:row>
      <xdr:rowOff>0</xdr:rowOff>
    </xdr:from>
    <xdr:to>
      <xdr:col>13</xdr:col>
      <xdr:colOff>381000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2305050" y="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571500</xdr:colOff>
      <xdr:row>0</xdr:row>
      <xdr:rowOff>0</xdr:rowOff>
    </xdr:from>
    <xdr:to>
      <xdr:col>15</xdr:col>
      <xdr:colOff>381000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048000" y="0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36</xdr:col>
      <xdr:colOff>57150</xdr:colOff>
      <xdr:row>223</xdr:row>
      <xdr:rowOff>142875</xdr:rowOff>
    </xdr:from>
    <xdr:to>
      <xdr:col>37</xdr:col>
      <xdr:colOff>152400</xdr:colOff>
      <xdr:row>233</xdr:row>
      <xdr:rowOff>66675</xdr:rowOff>
    </xdr:to>
    <xdr:pic>
      <xdr:nvPicPr>
        <xdr:cNvPr id="5" name="Picture 6" descr="SCMAP-USAVOLLEYBALL_c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20135850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106680</xdr:colOff>
          <xdr:row>13</xdr:row>
          <xdr:rowOff>7620</xdr:rowOff>
        </xdr:from>
        <xdr:to>
          <xdr:col>42</xdr:col>
          <xdr:colOff>228600</xdr:colOff>
          <xdr:row>16</xdr:row>
          <xdr:rowOff>106680</xdr:rowOff>
        </xdr:to>
        <xdr:sp macro="" textlink="">
          <xdr:nvSpPr>
            <xdr:cNvPr id="2049" name="Pool1RecalcFinish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106680</xdr:colOff>
          <xdr:row>98</xdr:row>
          <xdr:rowOff>7620</xdr:rowOff>
        </xdr:from>
        <xdr:to>
          <xdr:col>42</xdr:col>
          <xdr:colOff>228600</xdr:colOff>
          <xdr:row>101</xdr:row>
          <xdr:rowOff>106680</xdr:rowOff>
        </xdr:to>
        <xdr:sp macro="" textlink="">
          <xdr:nvSpPr>
            <xdr:cNvPr id="2050" name="Pool2RecalcFinish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0</xdr:row>
      <xdr:rowOff>0</xdr:rowOff>
    </xdr:from>
    <xdr:to>
      <xdr:col>11</xdr:col>
      <xdr:colOff>381000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7B5359F-D65E-4931-A351-338B36381DE6}"/>
            </a:ext>
          </a:extLst>
        </xdr:cNvPr>
        <xdr:cNvSpPr>
          <a:spLocks noChangeShapeType="1"/>
        </xdr:cNvSpPr>
      </xdr:nvSpPr>
      <xdr:spPr bwMode="auto">
        <a:xfrm>
          <a:off x="1935480" y="0"/>
          <a:ext cx="11658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571500</xdr:colOff>
      <xdr:row>0</xdr:row>
      <xdr:rowOff>0</xdr:rowOff>
    </xdr:from>
    <xdr:to>
      <xdr:col>13</xdr:col>
      <xdr:colOff>381000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3FC11D4-7DD8-4EB8-B673-7AB6EED48F06}"/>
            </a:ext>
          </a:extLst>
        </xdr:cNvPr>
        <xdr:cNvSpPr>
          <a:spLocks noChangeShapeType="1"/>
        </xdr:cNvSpPr>
      </xdr:nvSpPr>
      <xdr:spPr bwMode="auto">
        <a:xfrm>
          <a:off x="2346960" y="0"/>
          <a:ext cx="11658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571500</xdr:colOff>
      <xdr:row>0</xdr:row>
      <xdr:rowOff>0</xdr:rowOff>
    </xdr:from>
    <xdr:to>
      <xdr:col>15</xdr:col>
      <xdr:colOff>381000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DC061EE6-2BB8-4A62-A6E2-6386E8DB65EA}"/>
            </a:ext>
          </a:extLst>
        </xdr:cNvPr>
        <xdr:cNvSpPr>
          <a:spLocks noChangeShapeType="1"/>
        </xdr:cNvSpPr>
      </xdr:nvSpPr>
      <xdr:spPr bwMode="auto">
        <a:xfrm>
          <a:off x="3101340" y="0"/>
          <a:ext cx="8229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36</xdr:col>
      <xdr:colOff>57150</xdr:colOff>
      <xdr:row>223</xdr:row>
      <xdr:rowOff>142875</xdr:rowOff>
    </xdr:from>
    <xdr:to>
      <xdr:col>37</xdr:col>
      <xdr:colOff>152400</xdr:colOff>
      <xdr:row>233</xdr:row>
      <xdr:rowOff>66675</xdr:rowOff>
    </xdr:to>
    <xdr:pic>
      <xdr:nvPicPr>
        <xdr:cNvPr id="5" name="Picture 6" descr="SCMAP-USAVOLLEYBALL_c">
          <a:extLst>
            <a:ext uri="{FF2B5EF4-FFF2-40B4-BE49-F238E27FC236}">
              <a16:creationId xmlns:a16="http://schemas.microsoft.com/office/drawing/2014/main" id="{C172217A-D300-4D64-BC8D-E4CEE84C0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930" y="20313015"/>
          <a:ext cx="34671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106680</xdr:colOff>
          <xdr:row>13</xdr:row>
          <xdr:rowOff>7620</xdr:rowOff>
        </xdr:from>
        <xdr:to>
          <xdr:col>42</xdr:col>
          <xdr:colOff>228600</xdr:colOff>
          <xdr:row>16</xdr:row>
          <xdr:rowOff>106680</xdr:rowOff>
        </xdr:to>
        <xdr:sp macro="" textlink="">
          <xdr:nvSpPr>
            <xdr:cNvPr id="5121" name="Pool1RecalcFinish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92C62269-BB67-4D1D-9CA6-B8C03970BA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106680</xdr:colOff>
          <xdr:row>98</xdr:row>
          <xdr:rowOff>7620</xdr:rowOff>
        </xdr:from>
        <xdr:to>
          <xdr:col>42</xdr:col>
          <xdr:colOff>228600</xdr:colOff>
          <xdr:row>101</xdr:row>
          <xdr:rowOff>106680</xdr:rowOff>
        </xdr:to>
        <xdr:sp macro="" textlink="">
          <xdr:nvSpPr>
            <xdr:cNvPr id="5122" name="Pool2RecalcFinish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71FBDC8E-048D-4A4E-A156-0D7D78672A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0</xdr:row>
      <xdr:rowOff>0</xdr:rowOff>
    </xdr:from>
    <xdr:to>
      <xdr:col>11</xdr:col>
      <xdr:colOff>381000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4265CFA-31B1-466B-895A-3BF092756529}"/>
            </a:ext>
          </a:extLst>
        </xdr:cNvPr>
        <xdr:cNvSpPr>
          <a:spLocks noChangeShapeType="1"/>
        </xdr:cNvSpPr>
      </xdr:nvSpPr>
      <xdr:spPr bwMode="auto">
        <a:xfrm>
          <a:off x="1935480" y="0"/>
          <a:ext cx="11658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571500</xdr:colOff>
      <xdr:row>0</xdr:row>
      <xdr:rowOff>0</xdr:rowOff>
    </xdr:from>
    <xdr:to>
      <xdr:col>13</xdr:col>
      <xdr:colOff>381000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0220BBD-2274-4DB5-9CF6-14EADD08245B}"/>
            </a:ext>
          </a:extLst>
        </xdr:cNvPr>
        <xdr:cNvSpPr>
          <a:spLocks noChangeShapeType="1"/>
        </xdr:cNvSpPr>
      </xdr:nvSpPr>
      <xdr:spPr bwMode="auto">
        <a:xfrm>
          <a:off x="2346960" y="0"/>
          <a:ext cx="11658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571500</xdr:colOff>
      <xdr:row>0</xdr:row>
      <xdr:rowOff>0</xdr:rowOff>
    </xdr:from>
    <xdr:to>
      <xdr:col>15</xdr:col>
      <xdr:colOff>381000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237CACC4-6DF8-40B6-93E0-C6A4494F259D}"/>
            </a:ext>
          </a:extLst>
        </xdr:cNvPr>
        <xdr:cNvSpPr>
          <a:spLocks noChangeShapeType="1"/>
        </xdr:cNvSpPr>
      </xdr:nvSpPr>
      <xdr:spPr bwMode="auto">
        <a:xfrm>
          <a:off x="3101340" y="0"/>
          <a:ext cx="8229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36</xdr:col>
      <xdr:colOff>57150</xdr:colOff>
      <xdr:row>223</xdr:row>
      <xdr:rowOff>142875</xdr:rowOff>
    </xdr:from>
    <xdr:to>
      <xdr:col>37</xdr:col>
      <xdr:colOff>152400</xdr:colOff>
      <xdr:row>233</xdr:row>
      <xdr:rowOff>66675</xdr:rowOff>
    </xdr:to>
    <xdr:pic>
      <xdr:nvPicPr>
        <xdr:cNvPr id="5" name="Picture 6" descr="SCMAP-USAVOLLEYBALL_c">
          <a:extLst>
            <a:ext uri="{FF2B5EF4-FFF2-40B4-BE49-F238E27FC236}">
              <a16:creationId xmlns:a16="http://schemas.microsoft.com/office/drawing/2014/main" id="{89EFF03F-9109-4C8C-8D99-889DC458A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930" y="20313015"/>
          <a:ext cx="34671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106680</xdr:colOff>
          <xdr:row>13</xdr:row>
          <xdr:rowOff>7620</xdr:rowOff>
        </xdr:from>
        <xdr:to>
          <xdr:col>42</xdr:col>
          <xdr:colOff>228600</xdr:colOff>
          <xdr:row>16</xdr:row>
          <xdr:rowOff>106680</xdr:rowOff>
        </xdr:to>
        <xdr:sp macro="" textlink="">
          <xdr:nvSpPr>
            <xdr:cNvPr id="4097" name="Pool1RecalcFinish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1A5C812-628D-4114-A9FB-06DE830FED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106680</xdr:colOff>
          <xdr:row>98</xdr:row>
          <xdr:rowOff>7620</xdr:rowOff>
        </xdr:from>
        <xdr:to>
          <xdr:col>42</xdr:col>
          <xdr:colOff>228600</xdr:colOff>
          <xdr:row>101</xdr:row>
          <xdr:rowOff>106680</xdr:rowOff>
        </xdr:to>
        <xdr:sp macro="" textlink="">
          <xdr:nvSpPr>
            <xdr:cNvPr id="4098" name="Pool2RecalcFinish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4D8F7D5B-F7D8-4F8F-BD3C-0941C2B87A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ichael%20Vahjen/My%20Documents/adult%20region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ym ck off"/>
      <sheetName val="Gym supervisor"/>
      <sheetName val="Mens B BB"/>
      <sheetName val="Mens A"/>
      <sheetName val="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4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7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6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9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8.xml"/><Relationship Id="rId5" Type="http://schemas.openxmlformats.org/officeDocument/2006/relationships/image" Target="../media/image8.emf"/><Relationship Id="rId4" Type="http://schemas.openxmlformats.org/officeDocument/2006/relationships/control" Target="../activeX/activeX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aes1.advancedeventsystems.com/Event/Volleyball/EventTeamInfo.aspx?ZCruShzPjMGv6cuivzEZ3bdHnxan7utPe-38b2URl8mzU62jttSjG3kENzzLrFO5DJ2gC4tYCpITNOPe7kWQLp22OSbVlCGBuLUYcUJcvMs1mfXaIumiL4opmJlO0to2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aes1.advancedeventsystems.com/Event/Volleyball/EventTeamInfo.aspx?ZCruShzPjMGv6cuivzEZ3bdHnxan7utPe-38b2URl8mzU62jttSjG3kENzzLrFO5DJ2gC4tYCpITNOPe7kWQLp22OSbVlCGBuLUYcUJcvMs1mfXaIumiL4opmJlO0to20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aes1.advancedeventsystems.com/Event/Volleyball/EventTeamInfo.aspx?ZCruShzPjMGv6cuivzEZ3bdHnxan7utPe-38b2URl8mzU62jttSjG3kENzzLrFO5DJ2gC4tYCpITNOPe7kWQLp22OSbVlCGBuLUYcUJcvMs1mfXaIumiL4opmJlO0to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>
    <tabColor indexed="11"/>
  </sheetPr>
  <dimension ref="A1:CC430"/>
  <sheetViews>
    <sheetView tabSelected="1" zoomScale="85" zoomScaleNormal="85" workbookViewId="0">
      <selection activeCell="BA2" sqref="BA2"/>
    </sheetView>
  </sheetViews>
  <sheetFormatPr defaultRowHeight="13.2" x14ac:dyDescent="0.25"/>
  <cols>
    <col min="2" max="2" width="3.6640625" customWidth="1"/>
    <col min="3" max="3" width="2.33203125" customWidth="1"/>
    <col min="4" max="5" width="3.6640625" customWidth="1"/>
    <col min="6" max="6" width="2.33203125" customWidth="1"/>
    <col min="7" max="8" width="3.6640625" customWidth="1"/>
    <col min="9" max="9" width="2.33203125" customWidth="1"/>
    <col min="10" max="12" width="3.6640625" customWidth="1"/>
    <col min="13" max="13" width="2.33203125" customWidth="1"/>
    <col min="14" max="15" width="3.6640625" customWidth="1"/>
    <col min="16" max="16" width="2.33203125" customWidth="1"/>
    <col min="17" max="18" width="3.6640625" customWidth="1"/>
    <col min="19" max="19" width="2.33203125" customWidth="1"/>
    <col min="20" max="21" width="3.6640625" customWidth="1"/>
    <col min="22" max="22" width="2.33203125" customWidth="1"/>
    <col min="23" max="24" width="3.6640625" customWidth="1"/>
    <col min="25" max="25" width="2.33203125" customWidth="1"/>
    <col min="26" max="27" width="3.6640625" customWidth="1"/>
    <col min="28" max="28" width="2.33203125" customWidth="1"/>
    <col min="29" max="30" width="3.6640625" customWidth="1"/>
    <col min="31" max="31" width="2.33203125" customWidth="1"/>
    <col min="32" max="32" width="3.6640625" customWidth="1"/>
    <col min="33" max="33" width="9.6640625" customWidth="1"/>
    <col min="34" max="43" width="3.6640625" customWidth="1"/>
    <col min="44" max="44" width="11" customWidth="1"/>
    <col min="47" max="47" width="24.44140625" customWidth="1"/>
    <col min="48" max="48" width="15.88671875" customWidth="1"/>
    <col min="49" max="49" width="14.33203125" bestFit="1" customWidth="1"/>
    <col min="50" max="50" width="9.6640625" bestFit="1" customWidth="1"/>
    <col min="51" max="51" width="10" customWidth="1"/>
    <col min="52" max="52" width="25" customWidth="1"/>
    <col min="53" max="53" width="6" customWidth="1"/>
  </cols>
  <sheetData>
    <row r="1" spans="1:53" ht="13.8" thickBot="1" x14ac:dyDescent="0.3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 t="s">
        <v>1</v>
      </c>
      <c r="AS1" s="3"/>
      <c r="AT1" s="167" t="s">
        <v>2</v>
      </c>
      <c r="AU1" s="168"/>
      <c r="AV1" s="168"/>
      <c r="AW1" s="169"/>
      <c r="AX1" s="170" t="s">
        <v>3</v>
      </c>
      <c r="AY1" s="171"/>
      <c r="AZ1" s="4" t="s">
        <v>4</v>
      </c>
      <c r="BA1" s="5">
        <v>16</v>
      </c>
    </row>
    <row r="2" spans="1:53" ht="18.75" customHeight="1" thickBot="1" x14ac:dyDescent="0.35">
      <c r="A2" s="2"/>
      <c r="B2" s="6" t="s">
        <v>5</v>
      </c>
      <c r="C2" s="7"/>
      <c r="D2" s="7"/>
      <c r="E2" s="8"/>
      <c r="F2" s="8"/>
      <c r="G2" s="9"/>
      <c r="H2" s="8"/>
      <c r="I2" s="10"/>
      <c r="J2" s="172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4"/>
      <c r="V2" s="175" t="s">
        <v>6</v>
      </c>
      <c r="W2" s="176"/>
      <c r="X2" s="177"/>
      <c r="Y2" s="178"/>
      <c r="Z2" s="179"/>
      <c r="AA2" s="179"/>
      <c r="AB2" s="179"/>
      <c r="AC2" s="179"/>
      <c r="AD2" s="179"/>
      <c r="AE2" s="179"/>
      <c r="AF2" s="180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3"/>
      <c r="AT2" s="12" t="s">
        <v>7</v>
      </c>
      <c r="AU2" s="13" t="s">
        <v>8</v>
      </c>
      <c r="AV2" s="14" t="s">
        <v>9</v>
      </c>
      <c r="AW2" s="15" t="s">
        <v>10</v>
      </c>
      <c r="AX2" s="16" t="s">
        <v>11</v>
      </c>
      <c r="AY2" s="15" t="s">
        <v>12</v>
      </c>
      <c r="AZ2" s="4" t="s">
        <v>13</v>
      </c>
      <c r="BA2" s="5">
        <v>16</v>
      </c>
    </row>
    <row r="3" spans="1:53" ht="18.75" customHeight="1" thickBot="1" x14ac:dyDescent="0.35">
      <c r="A3" s="2"/>
      <c r="B3" s="196" t="s">
        <v>14</v>
      </c>
      <c r="C3" s="197"/>
      <c r="D3" s="198"/>
      <c r="E3" s="199"/>
      <c r="F3" s="199"/>
      <c r="G3" s="199"/>
      <c r="H3" s="199"/>
      <c r="I3" s="199"/>
      <c r="J3" s="199"/>
      <c r="K3" s="199"/>
      <c r="L3" s="200"/>
      <c r="M3" s="201" t="s">
        <v>15</v>
      </c>
      <c r="N3" s="202"/>
      <c r="O3" s="203"/>
      <c r="P3" s="204"/>
      <c r="Q3" s="205"/>
      <c r="R3" s="206"/>
      <c r="S3" s="206"/>
      <c r="T3" s="206"/>
      <c r="U3" s="207"/>
      <c r="V3" s="208" t="s">
        <v>16</v>
      </c>
      <c r="W3" s="209"/>
      <c r="X3" s="209"/>
      <c r="Y3" s="209"/>
      <c r="Z3" s="209"/>
      <c r="AA3" s="210"/>
      <c r="AB3" s="17"/>
      <c r="AC3" s="181" t="s">
        <v>17</v>
      </c>
      <c r="AD3" s="181"/>
      <c r="AE3" s="181" t="s">
        <v>18</v>
      </c>
      <c r="AF3" s="182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3"/>
      <c r="AT3" s="18">
        <v>1</v>
      </c>
      <c r="AU3" s="19" t="str">
        <f>'7tm AM r1'!B179</f>
        <v>C1VB Juniors Royal</v>
      </c>
      <c r="AV3" s="20" t="str">
        <f>'7tm AM r1'!H179</f>
        <v>fj2crone7pm</v>
      </c>
      <c r="AW3" s="21">
        <f>VLOOKUP(AV3,'7tm AM r1'!$AV$3:$AX$9,3,FALSE)</f>
        <v>1246.5304984710244</v>
      </c>
      <c r="AX3" s="22">
        <f t="shared" ref="AX3:AX9" si="0">VLOOKUP(AU3,AT$79:AU$180,2,FALSE)</f>
        <v>1221.7686698636426</v>
      </c>
      <c r="AY3" s="23">
        <f t="shared" ref="AY3:AY9" si="1">IF(ISNA(VLOOKUP(AU3,AT$182:AU$243,2,FALSE)),AX3,VLOOKUP(AU3,AT$182:AU$243,2,FALSE))</f>
        <v>1221.7686698636426</v>
      </c>
    </row>
    <row r="4" spans="1:53" ht="24" customHeight="1" thickBot="1" x14ac:dyDescent="0.3">
      <c r="A4" s="2"/>
      <c r="B4" s="24"/>
      <c r="C4" s="24"/>
      <c r="D4" s="25"/>
      <c r="E4" s="26"/>
      <c r="F4" s="27"/>
      <c r="G4" s="27"/>
      <c r="H4" s="183" t="s">
        <v>19</v>
      </c>
      <c r="I4" s="184"/>
      <c r="J4" s="185"/>
      <c r="K4" s="185"/>
      <c r="L4" s="185"/>
      <c r="M4" s="185"/>
      <c r="N4" s="186"/>
      <c r="O4" s="187"/>
      <c r="P4" s="187"/>
      <c r="Q4" s="187"/>
      <c r="R4" s="187"/>
      <c r="S4" s="187"/>
      <c r="T4" s="187"/>
      <c r="U4" s="188"/>
      <c r="V4" s="189" t="s">
        <v>20</v>
      </c>
      <c r="W4" s="190"/>
      <c r="X4" s="190"/>
      <c r="Y4" s="190"/>
      <c r="Z4" s="191"/>
      <c r="AA4" s="192"/>
      <c r="AB4" s="187"/>
      <c r="AC4" s="187"/>
      <c r="AD4" s="187"/>
      <c r="AE4" s="187"/>
      <c r="AF4" s="188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3"/>
      <c r="AT4" s="28">
        <v>2</v>
      </c>
      <c r="AU4" s="19" t="str">
        <f>'7tm AM r1'!V179</f>
        <v>Foothills Vanessa</v>
      </c>
      <c r="AV4" s="30" t="str">
        <f>'7tm AM r1'!AB179</f>
        <v>fj2footh2pm</v>
      </c>
      <c r="AW4" s="21">
        <f>VLOOKUP(AV4,'7tm AM r1'!$AV$3:$AX$9,3,FALSE)</f>
        <v>1185.4695015289756</v>
      </c>
      <c r="AX4" s="31">
        <f t="shared" si="0"/>
        <v>1167.2548445511111</v>
      </c>
      <c r="AY4" s="23">
        <f t="shared" si="1"/>
        <v>1167.2548445511111</v>
      </c>
    </row>
    <row r="5" spans="1:53" ht="15.6" thickBot="1" x14ac:dyDescent="0.3">
      <c r="A5" s="1" t="s">
        <v>21</v>
      </c>
      <c r="B5" s="193" t="s">
        <v>21</v>
      </c>
      <c r="C5" s="194"/>
      <c r="D5" s="194"/>
      <c r="E5" s="194"/>
      <c r="F5" s="194"/>
      <c r="G5" s="194"/>
      <c r="H5" s="194"/>
      <c r="I5" s="194"/>
      <c r="J5" s="194"/>
      <c r="K5" s="32"/>
      <c r="L5" s="195" t="s">
        <v>21</v>
      </c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3"/>
      <c r="AT5" s="28">
        <v>3</v>
      </c>
      <c r="AU5" s="19" t="str">
        <f>'7tm AM r1'!V180</f>
        <v>C1VB Juniors Grey</v>
      </c>
      <c r="AV5" s="30" t="str">
        <f>'7tm AM r1'!AB180</f>
        <v>fj2crone8pm</v>
      </c>
      <c r="AW5" s="21">
        <f>VLOOKUP(AV5,'7tm AM r1'!$AV$3:$AX$9,3,FALSE)</f>
        <v>1141.6652427363483</v>
      </c>
      <c r="AX5" s="31">
        <f t="shared" si="0"/>
        <v>1128.4564107962669</v>
      </c>
      <c r="AY5" s="23">
        <f t="shared" si="1"/>
        <v>1128.4564107962669</v>
      </c>
    </row>
    <row r="6" spans="1:53" ht="24" customHeight="1" thickBot="1" x14ac:dyDescent="0.3">
      <c r="A6" s="33" t="s">
        <v>22</v>
      </c>
      <c r="B6" s="34" t="s">
        <v>23</v>
      </c>
      <c r="C6" s="211" t="s">
        <v>24</v>
      </c>
      <c r="D6" s="212"/>
      <c r="E6" s="212"/>
      <c r="F6" s="212"/>
      <c r="G6" s="212"/>
      <c r="H6" s="213"/>
      <c r="I6" s="214">
        <v>1</v>
      </c>
      <c r="J6" s="215"/>
      <c r="K6" s="216" t="str">
        <f>"Pool "&amp;B6&amp;" - Round 1 - Court "&amp;I6</f>
        <v>Pool A - Round 1 - Court 1</v>
      </c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8"/>
      <c r="AK6" s="11"/>
      <c r="AL6" s="11"/>
      <c r="AM6" s="11"/>
      <c r="AN6" s="11"/>
      <c r="AO6" s="11"/>
      <c r="AP6" s="11"/>
      <c r="AQ6" s="11"/>
      <c r="AR6" s="11"/>
      <c r="AT6" s="28">
        <v>4</v>
      </c>
      <c r="AU6" s="29" t="str">
        <f>'7tm AM r1'!B180</f>
        <v>SC Midlands KP Boys</v>
      </c>
      <c r="AV6" s="30" t="str">
        <f>'7tm AM r1'!H180</f>
        <v>fj2scmid3pm</v>
      </c>
      <c r="AW6" s="21">
        <f>VLOOKUP(AV6,'7tm AM r1'!$AV$3:$AX$9,3,FALSE)</f>
        <v>1258.4581800415169</v>
      </c>
      <c r="AX6" s="31">
        <f t="shared" si="0"/>
        <v>1279.1688939443791</v>
      </c>
      <c r="AY6" s="23">
        <f t="shared" si="1"/>
        <v>1279.1688939443791</v>
      </c>
    </row>
    <row r="7" spans="1:53" ht="27" customHeight="1" thickBot="1" x14ac:dyDescent="0.3">
      <c r="A7" s="35" t="s">
        <v>25</v>
      </c>
      <c r="B7" s="183" t="s">
        <v>8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183" t="str">
        <f>IF($AL10=0,"Games Won","Matches Won")</f>
        <v>Matches Won</v>
      </c>
      <c r="N7" s="219"/>
      <c r="O7" s="219"/>
      <c r="P7" s="219"/>
      <c r="Q7" s="219"/>
      <c r="R7" s="220"/>
      <c r="S7" s="183" t="str">
        <f>IF($AL10=0,"Games Lost","Matches Lost")</f>
        <v>Matches Lost</v>
      </c>
      <c r="T7" s="221"/>
      <c r="U7" s="221"/>
      <c r="V7" s="221"/>
      <c r="W7" s="222"/>
      <c r="X7" s="223" t="s">
        <v>26</v>
      </c>
      <c r="Y7" s="224"/>
      <c r="Z7" s="225"/>
      <c r="AA7" s="223" t="s">
        <v>27</v>
      </c>
      <c r="AB7" s="224"/>
      <c r="AC7" s="225"/>
      <c r="AD7" s="226" t="s">
        <v>28</v>
      </c>
      <c r="AE7" s="227"/>
      <c r="AF7" s="228"/>
      <c r="AG7" s="36" t="s">
        <v>29</v>
      </c>
      <c r="AH7" s="37" t="s">
        <v>7</v>
      </c>
      <c r="AI7" s="229" t="s">
        <v>30</v>
      </c>
      <c r="AJ7" s="230"/>
      <c r="AK7" s="38"/>
      <c r="AL7" s="39">
        <v>1</v>
      </c>
      <c r="AM7" s="40" t="s">
        <v>31</v>
      </c>
      <c r="AN7" s="40"/>
      <c r="AO7" s="40"/>
      <c r="AP7" s="40"/>
      <c r="AQ7" s="40"/>
      <c r="AR7" s="40"/>
      <c r="AS7" s="41"/>
      <c r="AT7" s="28">
        <v>5</v>
      </c>
      <c r="AU7" s="29" t="str">
        <f>'7tm AM r1'!L180</f>
        <v>SC Midlands KP White</v>
      </c>
      <c r="AV7" s="30" t="str">
        <f>'7tm AM r1'!R180</f>
        <v>fj2scmid2pm</v>
      </c>
      <c r="AW7" s="21">
        <f>VLOOKUP(AV7,'7tm AM r1'!$AV$3:$AX$9,3,FALSE)</f>
        <v>1199.8765772221348</v>
      </c>
      <c r="AX7" s="31">
        <f t="shared" si="0"/>
        <v>1194.5557629721243</v>
      </c>
      <c r="AY7" s="23">
        <f t="shared" si="1"/>
        <v>1194.5557629721243</v>
      </c>
    </row>
    <row r="8" spans="1:53" ht="18.75" customHeight="1" x14ac:dyDescent="0.25">
      <c r="A8" s="231" t="str">
        <f>IF($AL9&gt;0,"1","")</f>
        <v>1</v>
      </c>
      <c r="B8" s="233" t="s">
        <v>8</v>
      </c>
      <c r="C8" s="234"/>
      <c r="D8" s="235"/>
      <c r="E8" s="236" t="str">
        <f>AU3</f>
        <v>C1VB Juniors Royal</v>
      </c>
      <c r="F8" s="237"/>
      <c r="G8" s="237"/>
      <c r="H8" s="237"/>
      <c r="I8" s="237"/>
      <c r="J8" s="237"/>
      <c r="K8" s="237"/>
      <c r="L8" s="238"/>
      <c r="M8" s="239">
        <f>IF($AL10=0,AG64,AG46)</f>
        <v>0</v>
      </c>
      <c r="N8" s="240"/>
      <c r="O8" s="240"/>
      <c r="P8" s="240"/>
      <c r="Q8" s="240"/>
      <c r="R8" s="220"/>
      <c r="S8" s="239">
        <f>IF($AL10=0,AH64,AH46)</f>
        <v>3</v>
      </c>
      <c r="T8" s="240"/>
      <c r="U8" s="240"/>
      <c r="V8" s="240"/>
      <c r="W8" s="240"/>
      <c r="X8" s="239">
        <f>AR24</f>
        <v>-24</v>
      </c>
      <c r="Y8" s="240"/>
      <c r="Z8" s="240"/>
      <c r="AA8" s="243">
        <f>IF(AG58&gt;0,(AR24/AG58),0)</f>
        <v>-0.27272727272727271</v>
      </c>
      <c r="AB8" s="244"/>
      <c r="AC8" s="244"/>
      <c r="AD8" s="247">
        <f>IF(AG72=0,0,(AG64/AG72))</f>
        <v>0</v>
      </c>
      <c r="AE8" s="248"/>
      <c r="AF8" s="249"/>
      <c r="AG8" s="253">
        <v>4</v>
      </c>
      <c r="AH8" s="253">
        <v>1</v>
      </c>
      <c r="AI8" s="255"/>
      <c r="AJ8" s="256"/>
      <c r="AK8" s="38"/>
      <c r="AL8" s="39">
        <v>6</v>
      </c>
      <c r="AM8" s="40" t="s">
        <v>32</v>
      </c>
      <c r="AN8" s="40"/>
      <c r="AO8" s="40"/>
      <c r="AP8" s="40"/>
      <c r="AQ8" s="40"/>
      <c r="AR8" s="40"/>
      <c r="AS8" s="41"/>
      <c r="AT8" s="28">
        <v>6</v>
      </c>
      <c r="AU8" s="29" t="str">
        <f>'7tm AM r1'!AF179</f>
        <v>MOTO 12'1</v>
      </c>
      <c r="AV8" s="30" t="str">
        <f>'7tm AM r1'!AL179</f>
        <v>fj1motoj1pm</v>
      </c>
      <c r="AW8" s="21">
        <f>VLOOKUP(AV8,'7tm AM r1'!$AV$3:$AX$9,3,FALSE)</f>
        <v>1153.4695015289756</v>
      </c>
      <c r="AX8" s="31">
        <f t="shared" si="0"/>
        <v>1184.8929904469214</v>
      </c>
      <c r="AY8" s="23">
        <f t="shared" si="1"/>
        <v>1184.8929904469214</v>
      </c>
    </row>
    <row r="9" spans="1:53" ht="18.75" customHeight="1" thickBot="1" x14ac:dyDescent="0.3">
      <c r="A9" s="232"/>
      <c r="B9" s="263" t="s">
        <v>9</v>
      </c>
      <c r="C9" s="264"/>
      <c r="D9" s="265"/>
      <c r="E9" s="261" t="str">
        <f>AV3</f>
        <v>fj2crone7pm</v>
      </c>
      <c r="F9" s="262"/>
      <c r="G9" s="262"/>
      <c r="H9" s="262"/>
      <c r="I9" s="262"/>
      <c r="J9" s="262"/>
      <c r="K9" s="262"/>
      <c r="L9" s="262"/>
      <c r="M9" s="241"/>
      <c r="N9" s="242"/>
      <c r="O9" s="242"/>
      <c r="P9" s="242"/>
      <c r="Q9" s="242"/>
      <c r="R9" s="220"/>
      <c r="S9" s="241"/>
      <c r="T9" s="242"/>
      <c r="U9" s="242"/>
      <c r="V9" s="242"/>
      <c r="W9" s="242"/>
      <c r="X9" s="241"/>
      <c r="Y9" s="242"/>
      <c r="Z9" s="242"/>
      <c r="AA9" s="245"/>
      <c r="AB9" s="246"/>
      <c r="AC9" s="246"/>
      <c r="AD9" s="250"/>
      <c r="AE9" s="251"/>
      <c r="AF9" s="252"/>
      <c r="AG9" s="254"/>
      <c r="AH9" s="254"/>
      <c r="AI9" s="257"/>
      <c r="AJ9" s="258"/>
      <c r="AK9" s="38"/>
      <c r="AL9" s="39">
        <v>4</v>
      </c>
      <c r="AM9" s="40" t="s">
        <v>33</v>
      </c>
      <c r="AN9" s="38"/>
      <c r="AO9" s="38"/>
      <c r="AP9" s="38"/>
      <c r="AQ9" s="38"/>
      <c r="AR9" s="38"/>
      <c r="AS9" s="3"/>
      <c r="AT9" s="28">
        <v>7</v>
      </c>
      <c r="AU9" s="29" t="str">
        <f>'7tm AM r1'!L179</f>
        <v>Intense kids power col</v>
      </c>
      <c r="AV9" s="30" t="str">
        <f>'7tm AM r1'!R179</f>
        <v>fj2inten3pm</v>
      </c>
      <c r="AW9" s="21">
        <f>VLOOKUP(AV9,'7tm AM r1'!$AV$3:$AX$9,3,FALSE)</f>
        <v>1214.5304984710244</v>
      </c>
      <c r="AX9" s="31">
        <f t="shared" si="0"/>
        <v>1223.9024274255546</v>
      </c>
      <c r="AY9" s="23">
        <f t="shared" si="1"/>
        <v>1223.9024274255546</v>
      </c>
    </row>
    <row r="10" spans="1:53" ht="18.75" customHeight="1" x14ac:dyDescent="0.25">
      <c r="A10" s="231" t="str">
        <f>IF($AL9&gt;1,"2","")</f>
        <v>2</v>
      </c>
      <c r="B10" s="233" t="s">
        <v>8</v>
      </c>
      <c r="C10" s="234"/>
      <c r="D10" s="235"/>
      <c r="E10" s="236" t="str">
        <f>AU6</f>
        <v>SC Midlands KP Boys</v>
      </c>
      <c r="F10" s="237"/>
      <c r="G10" s="237"/>
      <c r="H10" s="237"/>
      <c r="I10" s="237"/>
      <c r="J10" s="237"/>
      <c r="K10" s="237"/>
      <c r="L10" s="238"/>
      <c r="M10" s="239">
        <f>IF($AL10=0,AG65,AG47)</f>
        <v>3</v>
      </c>
      <c r="N10" s="240"/>
      <c r="O10" s="240"/>
      <c r="P10" s="240"/>
      <c r="Q10" s="240"/>
      <c r="R10" s="220"/>
      <c r="S10" s="239">
        <f>IF($AL10=0,AH65,AH47)</f>
        <v>0</v>
      </c>
      <c r="T10" s="240"/>
      <c r="U10" s="240"/>
      <c r="V10" s="240"/>
      <c r="W10" s="240"/>
      <c r="X10" s="239">
        <f>AR25</f>
        <v>23</v>
      </c>
      <c r="Y10" s="240"/>
      <c r="Z10" s="240"/>
      <c r="AA10" s="243">
        <f>IF(AG59&gt;0,(AR25/AG59),0)</f>
        <v>0.26136363636363635</v>
      </c>
      <c r="AB10" s="244"/>
      <c r="AC10" s="244"/>
      <c r="AD10" s="247">
        <f>IF(AG73=0,0,(AG65/AG73))</f>
        <v>1</v>
      </c>
      <c r="AE10" s="248"/>
      <c r="AF10" s="249"/>
      <c r="AG10" s="253">
        <v>1</v>
      </c>
      <c r="AH10" s="253">
        <v>1</v>
      </c>
      <c r="AI10" s="255"/>
      <c r="AJ10" s="256"/>
      <c r="AK10" s="38"/>
      <c r="AL10" s="39">
        <v>1</v>
      </c>
      <c r="AM10" s="40" t="s">
        <v>34</v>
      </c>
      <c r="AN10" s="40"/>
      <c r="AO10" s="40"/>
      <c r="AP10" s="40"/>
      <c r="AQ10" s="40"/>
      <c r="AR10" s="40"/>
      <c r="AS10" s="41"/>
      <c r="AT10" s="42"/>
      <c r="AU10" s="43"/>
      <c r="AV10" s="44"/>
      <c r="AW10" s="45"/>
      <c r="AX10" s="46"/>
      <c r="AY10" s="47"/>
    </row>
    <row r="11" spans="1:53" ht="18.75" customHeight="1" thickBot="1" x14ac:dyDescent="0.3">
      <c r="A11" s="232"/>
      <c r="B11" s="259" t="s">
        <v>9</v>
      </c>
      <c r="C11" s="260"/>
      <c r="D11" s="260"/>
      <c r="E11" s="261" t="str">
        <f>AV6</f>
        <v>fj2scmid3pm</v>
      </c>
      <c r="F11" s="262"/>
      <c r="G11" s="262"/>
      <c r="H11" s="262"/>
      <c r="I11" s="262"/>
      <c r="J11" s="262"/>
      <c r="K11" s="262"/>
      <c r="L11" s="262"/>
      <c r="M11" s="241"/>
      <c r="N11" s="242"/>
      <c r="O11" s="242"/>
      <c r="P11" s="242"/>
      <c r="Q11" s="242"/>
      <c r="R11" s="220"/>
      <c r="S11" s="241"/>
      <c r="T11" s="242"/>
      <c r="U11" s="242"/>
      <c r="V11" s="242"/>
      <c r="W11" s="242"/>
      <c r="X11" s="241"/>
      <c r="Y11" s="242"/>
      <c r="Z11" s="242"/>
      <c r="AA11" s="245"/>
      <c r="AB11" s="246"/>
      <c r="AC11" s="246"/>
      <c r="AD11" s="250"/>
      <c r="AE11" s="251"/>
      <c r="AF11" s="252"/>
      <c r="AG11" s="254"/>
      <c r="AH11" s="254"/>
      <c r="AI11" s="257"/>
      <c r="AJ11" s="258"/>
      <c r="AK11" s="38"/>
      <c r="AL11" s="39">
        <v>1</v>
      </c>
      <c r="AM11" s="40" t="s">
        <v>35</v>
      </c>
      <c r="AN11" s="38"/>
      <c r="AO11" s="38"/>
      <c r="AP11" s="38"/>
      <c r="AQ11" s="38"/>
      <c r="AR11" s="38"/>
      <c r="AS11" s="3"/>
      <c r="AT11" s="42"/>
      <c r="AU11" s="43"/>
      <c r="AV11" s="44"/>
      <c r="AW11" s="45"/>
      <c r="AX11" s="46"/>
      <c r="AY11" s="47"/>
    </row>
    <row r="12" spans="1:53" ht="18.75" customHeight="1" thickBot="1" x14ac:dyDescent="0.3">
      <c r="A12" s="231" t="str">
        <f>IF($AL9&gt;2,"3","")</f>
        <v>3</v>
      </c>
      <c r="B12" s="266" t="s">
        <v>8</v>
      </c>
      <c r="C12" s="267"/>
      <c r="D12" s="267"/>
      <c r="E12" s="236" t="str">
        <f>AU7</f>
        <v>SC Midlands KP White</v>
      </c>
      <c r="F12" s="237"/>
      <c r="G12" s="237"/>
      <c r="H12" s="237"/>
      <c r="I12" s="237"/>
      <c r="J12" s="237"/>
      <c r="K12" s="237"/>
      <c r="L12" s="238"/>
      <c r="M12" s="239">
        <f>IF($AL10=0,AG66,AG48)</f>
        <v>1</v>
      </c>
      <c r="N12" s="240"/>
      <c r="O12" s="240"/>
      <c r="P12" s="240"/>
      <c r="Q12" s="240"/>
      <c r="R12" s="220"/>
      <c r="S12" s="239">
        <f>IF($AL10=0,AH66,AH48)</f>
        <v>2</v>
      </c>
      <c r="T12" s="240"/>
      <c r="U12" s="240"/>
      <c r="V12" s="240"/>
      <c r="W12" s="240"/>
      <c r="X12" s="239">
        <f>AR26</f>
        <v>-23</v>
      </c>
      <c r="Y12" s="240"/>
      <c r="Z12" s="240"/>
      <c r="AA12" s="243">
        <f>IF(AG60&gt;0,(AR26/AG60),0)</f>
        <v>-0.26436781609195403</v>
      </c>
      <c r="AB12" s="244"/>
      <c r="AC12" s="244"/>
      <c r="AD12" s="247">
        <f>IF(AG74=0,0,(AG66/AG74))</f>
        <v>0.33333333333333331</v>
      </c>
      <c r="AE12" s="248"/>
      <c r="AF12" s="249"/>
      <c r="AG12" s="253">
        <v>3</v>
      </c>
      <c r="AH12" s="253">
        <v>1</v>
      </c>
      <c r="AI12" s="255"/>
      <c r="AJ12" s="256"/>
      <c r="AK12" s="48"/>
      <c r="AL12" s="39">
        <v>3</v>
      </c>
      <c r="AM12" s="49" t="s">
        <v>36</v>
      </c>
      <c r="AN12" s="40"/>
      <c r="AO12" s="40"/>
      <c r="AP12" s="40"/>
      <c r="AQ12" s="40"/>
      <c r="AR12" s="40"/>
      <c r="AS12" s="41"/>
      <c r="AT12" s="50"/>
      <c r="AU12" s="51"/>
      <c r="AV12" s="52"/>
      <c r="AW12" s="53"/>
      <c r="AX12" s="54"/>
      <c r="AY12" s="55"/>
    </row>
    <row r="13" spans="1:53" ht="18.75" customHeight="1" thickBot="1" x14ac:dyDescent="0.3">
      <c r="A13" s="232"/>
      <c r="B13" s="259" t="s">
        <v>9</v>
      </c>
      <c r="C13" s="260"/>
      <c r="D13" s="260"/>
      <c r="E13" s="261" t="str">
        <f>AV7</f>
        <v>fj2scmid2pm</v>
      </c>
      <c r="F13" s="262"/>
      <c r="G13" s="262"/>
      <c r="H13" s="262"/>
      <c r="I13" s="262"/>
      <c r="J13" s="262"/>
      <c r="K13" s="262"/>
      <c r="L13" s="262"/>
      <c r="M13" s="241"/>
      <c r="N13" s="242"/>
      <c r="O13" s="242"/>
      <c r="P13" s="242"/>
      <c r="Q13" s="242"/>
      <c r="R13" s="220"/>
      <c r="S13" s="241"/>
      <c r="T13" s="242"/>
      <c r="U13" s="242"/>
      <c r="V13" s="242"/>
      <c r="W13" s="242"/>
      <c r="X13" s="241"/>
      <c r="Y13" s="242"/>
      <c r="Z13" s="242"/>
      <c r="AA13" s="245"/>
      <c r="AB13" s="246"/>
      <c r="AC13" s="246"/>
      <c r="AD13" s="250"/>
      <c r="AE13" s="251"/>
      <c r="AF13" s="252"/>
      <c r="AG13" s="254"/>
      <c r="AH13" s="254"/>
      <c r="AI13" s="257"/>
      <c r="AJ13" s="258"/>
      <c r="AK13" s="48"/>
      <c r="AL13" s="56"/>
      <c r="AM13" s="57"/>
      <c r="AN13" s="57"/>
      <c r="AO13" s="57"/>
      <c r="AP13" s="57"/>
      <c r="AQ13" s="57"/>
      <c r="AR13" s="38"/>
      <c r="AS13" s="3"/>
      <c r="AT13" s="270" t="s">
        <v>37</v>
      </c>
      <c r="AU13" s="271"/>
      <c r="AV13" s="271"/>
      <c r="AW13" s="271"/>
      <c r="AX13" s="271"/>
      <c r="AY13" s="272"/>
    </row>
    <row r="14" spans="1:53" ht="18.75" customHeight="1" thickBot="1" x14ac:dyDescent="0.3">
      <c r="A14" s="231" t="str">
        <f>IF($AL9&gt;3,"4","")</f>
        <v>4</v>
      </c>
      <c r="B14" s="266" t="s">
        <v>8</v>
      </c>
      <c r="C14" s="267"/>
      <c r="D14" s="267"/>
      <c r="E14" s="236" t="str">
        <f>AU9</f>
        <v>Intense kids power col</v>
      </c>
      <c r="F14" s="237"/>
      <c r="G14" s="237"/>
      <c r="H14" s="237"/>
      <c r="I14" s="237"/>
      <c r="J14" s="237"/>
      <c r="K14" s="237"/>
      <c r="L14" s="238"/>
      <c r="M14" s="239">
        <f>IF($AL10=0,AG67,AG49)</f>
        <v>2</v>
      </c>
      <c r="N14" s="240"/>
      <c r="O14" s="240"/>
      <c r="P14" s="240"/>
      <c r="Q14" s="240"/>
      <c r="R14" s="220"/>
      <c r="S14" s="239">
        <f>IF($AL10=0,AH67,AH49)</f>
        <v>1</v>
      </c>
      <c r="T14" s="240"/>
      <c r="U14" s="240"/>
      <c r="V14" s="240"/>
      <c r="W14" s="240"/>
      <c r="X14" s="239">
        <f>AR27</f>
        <v>24</v>
      </c>
      <c r="Y14" s="240"/>
      <c r="Z14" s="240"/>
      <c r="AA14" s="243">
        <f>IF(AG61&gt;0,(AR27/AG61),0)</f>
        <v>0.26373626373626374</v>
      </c>
      <c r="AB14" s="244"/>
      <c r="AC14" s="244"/>
      <c r="AD14" s="247">
        <f>IF(AG75=0,0,(AG67/AG75))</f>
        <v>0.66666666666666663</v>
      </c>
      <c r="AE14" s="248"/>
      <c r="AF14" s="249"/>
      <c r="AG14" s="253">
        <v>2</v>
      </c>
      <c r="AH14" s="253">
        <v>1</v>
      </c>
      <c r="AI14" s="255"/>
      <c r="AJ14" s="256"/>
      <c r="AK14" s="11"/>
      <c r="AL14" s="57"/>
      <c r="AM14" s="57"/>
      <c r="AN14" s="57"/>
      <c r="AO14" s="57"/>
      <c r="AP14" s="57"/>
      <c r="AQ14" s="57"/>
      <c r="AR14" s="40"/>
      <c r="AS14" s="41"/>
      <c r="AT14" s="273"/>
      <c r="AU14" s="274"/>
      <c r="AV14" s="274"/>
      <c r="AW14" s="274"/>
      <c r="AX14" s="274"/>
      <c r="AY14" s="275"/>
    </row>
    <row r="15" spans="1:53" ht="18.75" customHeight="1" thickBot="1" x14ac:dyDescent="0.3">
      <c r="A15" s="232"/>
      <c r="B15" s="259" t="s">
        <v>9</v>
      </c>
      <c r="C15" s="260"/>
      <c r="D15" s="260"/>
      <c r="E15" s="261" t="str">
        <f>AV9</f>
        <v>fj2inten3pm</v>
      </c>
      <c r="F15" s="262"/>
      <c r="G15" s="262"/>
      <c r="H15" s="262"/>
      <c r="I15" s="262"/>
      <c r="J15" s="262"/>
      <c r="K15" s="262"/>
      <c r="L15" s="262"/>
      <c r="M15" s="241"/>
      <c r="N15" s="242"/>
      <c r="O15" s="242"/>
      <c r="P15" s="242"/>
      <c r="Q15" s="242"/>
      <c r="R15" s="220"/>
      <c r="S15" s="241"/>
      <c r="T15" s="242"/>
      <c r="U15" s="242"/>
      <c r="V15" s="242"/>
      <c r="W15" s="242"/>
      <c r="X15" s="241"/>
      <c r="Y15" s="242"/>
      <c r="Z15" s="242"/>
      <c r="AA15" s="245"/>
      <c r="AB15" s="246"/>
      <c r="AC15" s="246"/>
      <c r="AD15" s="250"/>
      <c r="AE15" s="251"/>
      <c r="AF15" s="252"/>
      <c r="AG15" s="254"/>
      <c r="AH15" s="254"/>
      <c r="AI15" s="257"/>
      <c r="AJ15" s="258"/>
      <c r="AK15" s="11"/>
      <c r="AL15" s="57"/>
      <c r="AM15" s="57"/>
      <c r="AN15" s="57"/>
      <c r="AO15" s="57"/>
      <c r="AP15" s="57"/>
      <c r="AQ15" s="57"/>
      <c r="AR15" s="11"/>
      <c r="AS15" s="3"/>
    </row>
    <row r="16" spans="1:53" ht="18.75" customHeight="1" x14ac:dyDescent="0.25">
      <c r="A16" s="231" t="str">
        <f>IF($AL9&gt;4,"5","")</f>
        <v/>
      </c>
      <c r="B16" s="266" t="s">
        <v>8</v>
      </c>
      <c r="C16" s="267"/>
      <c r="D16" s="267"/>
      <c r="E16" s="236">
        <f>AU11</f>
        <v>0</v>
      </c>
      <c r="F16" s="237"/>
      <c r="G16" s="237"/>
      <c r="H16" s="237"/>
      <c r="I16" s="237"/>
      <c r="J16" s="237"/>
      <c r="K16" s="237"/>
      <c r="L16" s="238"/>
      <c r="M16" s="239">
        <f>IF($AL10=0,AG68,AG50)</f>
        <v>0</v>
      </c>
      <c r="N16" s="240"/>
      <c r="O16" s="240"/>
      <c r="P16" s="240"/>
      <c r="Q16" s="240"/>
      <c r="R16" s="220"/>
      <c r="S16" s="239">
        <f>IF($AL10=0,AH68,AH50)</f>
        <v>0</v>
      </c>
      <c r="T16" s="240"/>
      <c r="U16" s="240"/>
      <c r="V16" s="240"/>
      <c r="W16" s="240"/>
      <c r="X16" s="239">
        <f>AR28</f>
        <v>0</v>
      </c>
      <c r="Y16" s="240"/>
      <c r="Z16" s="240"/>
      <c r="AA16" s="243">
        <f>IF(AG62&gt;0,(AR28/AG62),0)</f>
        <v>0</v>
      </c>
      <c r="AB16" s="244"/>
      <c r="AC16" s="244"/>
      <c r="AD16" s="247">
        <f>IF(AG76=0,0,(AG68/AG76))</f>
        <v>0</v>
      </c>
      <c r="AE16" s="248"/>
      <c r="AF16" s="249"/>
      <c r="AG16" s="253"/>
      <c r="AH16" s="253"/>
      <c r="AI16" s="255"/>
      <c r="AJ16" s="256"/>
      <c r="AK16" s="11"/>
      <c r="AL16" s="57"/>
      <c r="AM16" s="57"/>
      <c r="AN16" s="57"/>
      <c r="AO16" s="57"/>
      <c r="AP16" s="57"/>
      <c r="AQ16" s="57"/>
      <c r="AR16" s="11"/>
      <c r="AS16" s="3"/>
      <c r="AT16" s="58"/>
      <c r="AU16" s="58"/>
    </row>
    <row r="17" spans="1:47" ht="18.75" customHeight="1" thickBot="1" x14ac:dyDescent="0.3">
      <c r="A17" s="232"/>
      <c r="B17" s="277" t="s">
        <v>9</v>
      </c>
      <c r="C17" s="278"/>
      <c r="D17" s="278"/>
      <c r="E17" s="279">
        <f>AV11</f>
        <v>0</v>
      </c>
      <c r="F17" s="280"/>
      <c r="G17" s="280"/>
      <c r="H17" s="280"/>
      <c r="I17" s="280"/>
      <c r="J17" s="280"/>
      <c r="K17" s="280"/>
      <c r="L17" s="280"/>
      <c r="M17" s="268"/>
      <c r="N17" s="269"/>
      <c r="O17" s="269"/>
      <c r="P17" s="269"/>
      <c r="Q17" s="269"/>
      <c r="R17" s="220"/>
      <c r="S17" s="241"/>
      <c r="T17" s="242"/>
      <c r="U17" s="242"/>
      <c r="V17" s="242"/>
      <c r="W17" s="242"/>
      <c r="X17" s="241"/>
      <c r="Y17" s="242"/>
      <c r="Z17" s="242"/>
      <c r="AA17" s="245"/>
      <c r="AB17" s="246"/>
      <c r="AC17" s="246"/>
      <c r="AD17" s="250"/>
      <c r="AE17" s="251"/>
      <c r="AF17" s="252"/>
      <c r="AG17" s="254"/>
      <c r="AH17" s="276"/>
      <c r="AI17" s="257"/>
      <c r="AJ17" s="258"/>
      <c r="AK17" s="11"/>
      <c r="AL17" s="57"/>
      <c r="AM17" s="57"/>
      <c r="AN17" s="57"/>
      <c r="AO17" s="57"/>
      <c r="AP17" s="57"/>
      <c r="AQ17" s="57"/>
      <c r="AR17" s="11"/>
      <c r="AS17" s="3"/>
      <c r="AT17" s="58"/>
      <c r="AU17" s="58"/>
    </row>
    <row r="18" spans="1:47" ht="21" customHeight="1" thickTop="1" thickBot="1" x14ac:dyDescent="0.3">
      <c r="A18" s="59"/>
      <c r="B18" s="281" t="s">
        <v>38</v>
      </c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3"/>
      <c r="AK18" s="11"/>
      <c r="AL18" s="57"/>
      <c r="AM18" s="57"/>
      <c r="AN18" s="57"/>
      <c r="AO18" s="57"/>
      <c r="AP18" s="57"/>
      <c r="AQ18" s="57"/>
      <c r="AR18" s="11"/>
      <c r="AS18" s="3"/>
      <c r="AT18" s="58"/>
      <c r="AU18" s="58"/>
    </row>
    <row r="19" spans="1:47" ht="13.8" thickTop="1" x14ac:dyDescent="0.25">
      <c r="A19" t="s">
        <v>39</v>
      </c>
      <c r="B19" s="284">
        <v>0.35416666666666669</v>
      </c>
      <c r="C19" s="285"/>
      <c r="D19" s="286"/>
      <c r="E19" s="284">
        <v>0.39583333333333331</v>
      </c>
      <c r="F19" s="285"/>
      <c r="G19" s="286"/>
      <c r="H19" s="284">
        <v>0.4375</v>
      </c>
      <c r="I19" s="285"/>
      <c r="J19" s="286"/>
      <c r="K19" s="287"/>
      <c r="L19" s="284">
        <v>0.5</v>
      </c>
      <c r="M19" s="285"/>
      <c r="N19" s="286"/>
      <c r="O19" s="284">
        <v>4.1666666666666664E-2</v>
      </c>
      <c r="P19" s="285"/>
      <c r="Q19" s="286"/>
      <c r="R19" s="284">
        <v>8.3333333333333329E-2</v>
      </c>
      <c r="S19" s="285"/>
      <c r="T19" s="286"/>
      <c r="U19" s="284"/>
      <c r="V19" s="285"/>
      <c r="W19" s="286"/>
      <c r="X19" s="284"/>
      <c r="Y19" s="285"/>
      <c r="Z19" s="286"/>
      <c r="AA19" s="284"/>
      <c r="AB19" s="285"/>
      <c r="AC19" s="286"/>
      <c r="AD19" s="284"/>
      <c r="AE19" s="285"/>
      <c r="AF19" s="286"/>
      <c r="AG19" s="290" t="s">
        <v>40</v>
      </c>
      <c r="AH19" s="291"/>
      <c r="AI19" s="291"/>
      <c r="AJ19" s="291"/>
      <c r="AK19" s="292"/>
      <c r="AL19" s="292"/>
      <c r="AM19" s="292"/>
      <c r="AN19" s="292"/>
      <c r="AO19" s="292"/>
      <c r="AP19" s="292"/>
      <c r="AQ19" s="292"/>
      <c r="AR19" s="293"/>
      <c r="AT19" s="58"/>
      <c r="AU19" s="58"/>
    </row>
    <row r="20" spans="1:47" x14ac:dyDescent="0.25">
      <c r="A20" s="60" t="s">
        <v>41</v>
      </c>
      <c r="B20" s="298"/>
      <c r="C20" s="299"/>
      <c r="D20" s="300"/>
      <c r="E20" s="298"/>
      <c r="F20" s="299"/>
      <c r="G20" s="300"/>
      <c r="H20" s="298"/>
      <c r="I20" s="299"/>
      <c r="J20" s="300"/>
      <c r="K20" s="288"/>
      <c r="L20" s="298"/>
      <c r="M20" s="299"/>
      <c r="N20" s="300"/>
      <c r="O20" s="298"/>
      <c r="P20" s="299"/>
      <c r="Q20" s="300"/>
      <c r="R20" s="298"/>
      <c r="S20" s="299"/>
      <c r="T20" s="300"/>
      <c r="U20" s="298"/>
      <c r="V20" s="299"/>
      <c r="W20" s="300"/>
      <c r="X20" s="298"/>
      <c r="Y20" s="299"/>
      <c r="Z20" s="300"/>
      <c r="AA20" s="298"/>
      <c r="AB20" s="299"/>
      <c r="AC20" s="300"/>
      <c r="AD20" s="298"/>
      <c r="AE20" s="299"/>
      <c r="AF20" s="300"/>
      <c r="AG20" s="290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4"/>
      <c r="AT20" s="58"/>
      <c r="AU20" s="58"/>
    </row>
    <row r="21" spans="1:47" x14ac:dyDescent="0.25">
      <c r="A21" s="60" t="s">
        <v>42</v>
      </c>
      <c r="B21" s="298"/>
      <c r="C21" s="299"/>
      <c r="D21" s="300"/>
      <c r="E21" s="298"/>
      <c r="F21" s="299"/>
      <c r="G21" s="300"/>
      <c r="H21" s="298"/>
      <c r="I21" s="299"/>
      <c r="J21" s="300"/>
      <c r="K21" s="288"/>
      <c r="L21" s="298"/>
      <c r="M21" s="299"/>
      <c r="N21" s="300"/>
      <c r="O21" s="298"/>
      <c r="P21" s="299"/>
      <c r="Q21" s="300"/>
      <c r="R21" s="298"/>
      <c r="S21" s="299"/>
      <c r="T21" s="300"/>
      <c r="U21" s="298"/>
      <c r="V21" s="299"/>
      <c r="W21" s="300"/>
      <c r="X21" s="298"/>
      <c r="Y21" s="299"/>
      <c r="Z21" s="300"/>
      <c r="AA21" s="298"/>
      <c r="AB21" s="299"/>
      <c r="AC21" s="300"/>
      <c r="AD21" s="298"/>
      <c r="AE21" s="299"/>
      <c r="AF21" s="300"/>
      <c r="AG21" s="290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4"/>
      <c r="AT21" s="5"/>
      <c r="AU21" s="5"/>
    </row>
    <row r="22" spans="1:47" ht="13.8" thickBot="1" x14ac:dyDescent="0.3">
      <c r="A22" s="11"/>
      <c r="B22" s="301" t="s">
        <v>43</v>
      </c>
      <c r="C22" s="302"/>
      <c r="D22" s="303"/>
      <c r="E22" s="301" t="str">
        <f>IF(AL8&gt;1,"Match 2","")</f>
        <v>Match 2</v>
      </c>
      <c r="F22" s="302"/>
      <c r="G22" s="303"/>
      <c r="H22" s="301" t="str">
        <f>IF(AL8&gt;2,"Match 3","")</f>
        <v>Match 3</v>
      </c>
      <c r="I22" s="302"/>
      <c r="J22" s="303"/>
      <c r="K22" s="288"/>
      <c r="L22" s="301" t="str">
        <f>IF(AL8&gt;3,"Match 4","")</f>
        <v>Match 4</v>
      </c>
      <c r="M22" s="302"/>
      <c r="N22" s="303"/>
      <c r="O22" s="301" t="str">
        <f>IF(AL8&gt;4,"Match 5","")</f>
        <v>Match 5</v>
      </c>
      <c r="P22" s="302"/>
      <c r="Q22" s="303"/>
      <c r="R22" s="301" t="str">
        <f>IF(AL8&gt;5,"Match 6","")</f>
        <v>Match 6</v>
      </c>
      <c r="S22" s="302"/>
      <c r="T22" s="303"/>
      <c r="U22" s="301" t="str">
        <f>IF(AL8&gt;6,"Match 7","")</f>
        <v/>
      </c>
      <c r="V22" s="302"/>
      <c r="W22" s="303"/>
      <c r="X22" s="301" t="str">
        <f>IF(AL8&gt;7,"Match 8","")</f>
        <v/>
      </c>
      <c r="Y22" s="302"/>
      <c r="Z22" s="303"/>
      <c r="AA22" s="301" t="str">
        <f>IF(AL8&gt;8,"Match 9","")</f>
        <v/>
      </c>
      <c r="AB22" s="302"/>
      <c r="AC22" s="303"/>
      <c r="AD22" s="301" t="str">
        <f>IF(AL8&gt;9,"Match 10","")</f>
        <v/>
      </c>
      <c r="AE22" s="302"/>
      <c r="AF22" s="303"/>
      <c r="AG22" s="295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7"/>
      <c r="AT22" s="58"/>
      <c r="AU22" s="58"/>
    </row>
    <row r="23" spans="1:47" ht="15.6" x14ac:dyDescent="0.3">
      <c r="A23" s="11"/>
      <c r="B23" s="304" t="s">
        <v>44</v>
      </c>
      <c r="C23" s="305"/>
      <c r="D23" s="306"/>
      <c r="E23" s="304" t="s">
        <v>45</v>
      </c>
      <c r="F23" s="305"/>
      <c r="G23" s="306"/>
      <c r="H23" s="304" t="s">
        <v>46</v>
      </c>
      <c r="I23" s="305"/>
      <c r="J23" s="306"/>
      <c r="K23" s="288"/>
      <c r="L23" s="304" t="s">
        <v>47</v>
      </c>
      <c r="M23" s="305"/>
      <c r="N23" s="306"/>
      <c r="O23" s="304" t="s">
        <v>45</v>
      </c>
      <c r="P23" s="305"/>
      <c r="Q23" s="306"/>
      <c r="R23" s="304" t="s">
        <v>46</v>
      </c>
      <c r="S23" s="305"/>
      <c r="T23" s="306"/>
      <c r="U23" s="304"/>
      <c r="V23" s="305"/>
      <c r="W23" s="306"/>
      <c r="X23" s="304"/>
      <c r="Y23" s="305"/>
      <c r="Z23" s="306"/>
      <c r="AA23" s="304"/>
      <c r="AB23" s="305"/>
      <c r="AC23" s="306"/>
      <c r="AD23" s="304"/>
      <c r="AE23" s="305"/>
      <c r="AF23" s="306"/>
      <c r="AG23" s="61" t="s">
        <v>48</v>
      </c>
      <c r="AH23" s="62">
        <v>1</v>
      </c>
      <c r="AI23" s="62">
        <v>2</v>
      </c>
      <c r="AJ23" s="62">
        <v>3</v>
      </c>
      <c r="AK23" s="62">
        <v>4</v>
      </c>
      <c r="AL23" s="62">
        <v>5</v>
      </c>
      <c r="AM23" s="62">
        <v>6</v>
      </c>
      <c r="AN23" s="62">
        <v>7</v>
      </c>
      <c r="AO23" s="62">
        <v>8</v>
      </c>
      <c r="AP23" s="62">
        <v>9</v>
      </c>
      <c r="AQ23" s="62">
        <v>10</v>
      </c>
      <c r="AR23" s="63" t="s">
        <v>49</v>
      </c>
      <c r="AT23" s="58"/>
      <c r="AU23" s="58"/>
    </row>
    <row r="24" spans="1:47" ht="15.6" x14ac:dyDescent="0.3">
      <c r="A24" s="11"/>
      <c r="B24" s="64">
        <v>2</v>
      </c>
      <c r="C24" s="65" t="s">
        <v>50</v>
      </c>
      <c r="D24" s="66">
        <v>3</v>
      </c>
      <c r="E24" s="64">
        <v>1</v>
      </c>
      <c r="F24" s="65" t="str">
        <f>IF(AL8&gt;1,"v","")</f>
        <v>v</v>
      </c>
      <c r="G24" s="66">
        <v>4</v>
      </c>
      <c r="H24" s="64">
        <v>2</v>
      </c>
      <c r="I24" s="65" t="str">
        <f>IF(AL8&gt;2,"v","")</f>
        <v>v</v>
      </c>
      <c r="J24" s="66">
        <v>4</v>
      </c>
      <c r="K24" s="288"/>
      <c r="L24" s="64">
        <v>1</v>
      </c>
      <c r="M24" s="65" t="str">
        <f>IF(AL8&gt;3,"v","")</f>
        <v>v</v>
      </c>
      <c r="N24" s="66">
        <v>3</v>
      </c>
      <c r="O24" s="64">
        <v>3</v>
      </c>
      <c r="P24" s="65" t="str">
        <f>IF(AL8&gt;4,"v","")</f>
        <v>v</v>
      </c>
      <c r="Q24" s="66">
        <v>4</v>
      </c>
      <c r="R24" s="64">
        <v>1</v>
      </c>
      <c r="S24" s="65" t="str">
        <f>IF(AL8&gt;5,"v","")</f>
        <v>v</v>
      </c>
      <c r="T24" s="66">
        <v>2</v>
      </c>
      <c r="U24" s="64"/>
      <c r="V24" s="65" t="str">
        <f>IF(AL8&gt;6,"v","")</f>
        <v/>
      </c>
      <c r="W24" s="66"/>
      <c r="X24" s="64"/>
      <c r="Y24" s="65" t="str">
        <f>IF(AL8&gt;7,"v","")</f>
        <v/>
      </c>
      <c r="Z24" s="66"/>
      <c r="AA24" s="64"/>
      <c r="AB24" s="65" t="str">
        <f>IF(AL8&gt;8,"v","")</f>
        <v/>
      </c>
      <c r="AC24" s="66"/>
      <c r="AD24" s="64"/>
      <c r="AE24" s="65" t="str">
        <f>IF(AL8&gt;9,"v","")</f>
        <v/>
      </c>
      <c r="AF24" s="66"/>
      <c r="AG24" s="67" t="str">
        <f>IF(AL9&gt;0,"Team 1","")</f>
        <v>Team 1</v>
      </c>
      <c r="AH24" s="68" t="str">
        <f>IF(AL9&lt;1,"",IF(AL8&lt;1,"",IF(B24=1,B30-D30,IF(D24=1,D30-B30,""))))</f>
        <v/>
      </c>
      <c r="AI24" s="68">
        <f>IF(AL9&lt;1,"",IF(AL8&lt;2,"",IF(E24=1,E30-G30,IF(G24=1,G30-E30,""))))</f>
        <v>-9</v>
      </c>
      <c r="AJ24" s="68" t="str">
        <f>IF(AL9&lt;1,"",IF(AL8&lt;3,"",IF(H24=1,H30-J30,IF(J24=1,J30-H30,""))))</f>
        <v/>
      </c>
      <c r="AK24" s="68">
        <f>IF(AL9&lt;1,"",IF(AL8&lt;4,"",IF(L24=1,L30-N30,IF(N24=1,N30-L30,""))))</f>
        <v>-2</v>
      </c>
      <c r="AL24" s="68" t="str">
        <f>IF(AL9&lt;1,"",IF(AL8&lt;5,"",IF(O24=1,O30-Q30,IF(Q24=1,Q30-O30,""))))</f>
        <v/>
      </c>
      <c r="AM24" s="68">
        <f>IF(AL9&lt;1,"",IF(AL8&lt;6,"",IF(R24=1,R30-T30,IF(T24=1,T30-R30,""))))</f>
        <v>-13</v>
      </c>
      <c r="AN24" s="68" t="str">
        <f>IF(AL9&lt;1,"",IF(AL8&lt;7,"",IF(U24=1,U30-W30,IF(W24=1,W30-U30,""))))</f>
        <v/>
      </c>
      <c r="AO24" s="68" t="str">
        <f>IF(AL9&lt;1,"",IF(AL8&lt;8,"",IF(X24=1,X30-Z30,IF(Z24=1,Z30-X30,""))))</f>
        <v/>
      </c>
      <c r="AP24" s="68" t="str">
        <f>IF(AL9&lt;1,"",IF(AL8&lt;9,"",IF(AA24=1,AA30-AC30,IF(AC24=1,AC30-AA30,""))))</f>
        <v/>
      </c>
      <c r="AQ24" s="68" t="str">
        <f>IF(AL9&lt;1,"",IF(AL8&lt;10,"",IF(AD24=1,AD30-AF30,IF(AF24=1,AF30-AD30,""))))</f>
        <v/>
      </c>
      <c r="AR24" s="63">
        <f>SUM(AH24:AQ24)</f>
        <v>-24</v>
      </c>
      <c r="AT24" s="58"/>
      <c r="AU24" s="58"/>
    </row>
    <row r="25" spans="1:47" ht="15" x14ac:dyDescent="0.25">
      <c r="A25" t="s">
        <v>51</v>
      </c>
      <c r="B25" s="69">
        <v>28</v>
      </c>
      <c r="C25" s="70" t="s">
        <v>52</v>
      </c>
      <c r="D25" s="71">
        <v>24</v>
      </c>
      <c r="E25" s="69">
        <v>21</v>
      </c>
      <c r="F25" s="70" t="str">
        <f>IF(AL8&gt;1,"/","")</f>
        <v>/</v>
      </c>
      <c r="G25" s="71">
        <v>30</v>
      </c>
      <c r="H25" s="69">
        <v>27</v>
      </c>
      <c r="I25" s="70" t="str">
        <f>IF(AL8&gt;2,"/","")</f>
        <v>/</v>
      </c>
      <c r="J25" s="71">
        <v>21</v>
      </c>
      <c r="K25" s="288"/>
      <c r="L25" s="69">
        <v>23</v>
      </c>
      <c r="M25" s="70" t="str">
        <f>IF(AL8&gt;3,"/","")</f>
        <v>/</v>
      </c>
      <c r="N25" s="71">
        <v>25</v>
      </c>
      <c r="O25" s="69">
        <v>13</v>
      </c>
      <c r="P25" s="70" t="str">
        <f>IF(AL8&gt;4,"/","")</f>
        <v>/</v>
      </c>
      <c r="Q25" s="71">
        <v>34</v>
      </c>
      <c r="R25" s="69">
        <v>20</v>
      </c>
      <c r="S25" s="70" t="str">
        <f>IF(AL8&gt;5,"/","")</f>
        <v>/</v>
      </c>
      <c r="T25" s="71">
        <v>33</v>
      </c>
      <c r="U25" s="69"/>
      <c r="V25" s="70" t="str">
        <f>IF(AL8&gt;6,"/","")</f>
        <v/>
      </c>
      <c r="W25" s="71"/>
      <c r="X25" s="69"/>
      <c r="Y25" s="70" t="str">
        <f>IF(AL8&gt;7,"/","")</f>
        <v/>
      </c>
      <c r="Z25" s="71"/>
      <c r="AA25" s="69"/>
      <c r="AB25" s="70" t="str">
        <f>IF(AL8&gt;8,"/","")</f>
        <v/>
      </c>
      <c r="AC25" s="71"/>
      <c r="AD25" s="69"/>
      <c r="AE25" s="70" t="str">
        <f>IF(AL8&gt;9,"/","")</f>
        <v/>
      </c>
      <c r="AF25" s="71"/>
      <c r="AG25" s="67" t="str">
        <f>IF(AL9&gt;1,"Team 2","")</f>
        <v>Team 2</v>
      </c>
      <c r="AH25" s="68">
        <f>IF(AL9&lt;2,"",IF(AL8&lt;1,"",IF(B24=2,B30-D30,IF(D24=2,D30-B30,""))))</f>
        <v>4</v>
      </c>
      <c r="AI25" s="68" t="str">
        <f>IF(AL9&lt;2,"",IF(AL8&lt;2,"",IF(E24=2,E30-G30,IF(G24=2,G30-E30,""))))</f>
        <v/>
      </c>
      <c r="AJ25" s="68">
        <f>IF(AL9&lt;2,"",IF(AL8&lt;3,"",IF(H24=2,H30-J30,IF(J24=2,J30-H30,""))))</f>
        <v>6</v>
      </c>
      <c r="AK25" s="68" t="str">
        <f>IF(AL9&lt;2,"",IF(AL8&lt;4,"",IF(L24=2,L30-N30,IF(N24=2,N30-L30,""))))</f>
        <v/>
      </c>
      <c r="AL25" s="68" t="str">
        <f>IF(AL9&lt;2,"",IF(AL8&lt;5,"",IF(O24=2,O30-Q30,IF(Q24=2,Q30-O30,""))))</f>
        <v/>
      </c>
      <c r="AM25" s="68">
        <f>IF(AL9&lt;2,"",IF(AL8&lt;6,"",IF(R24=2,R30-T30,IF(T24=2,T30-R30,""))))</f>
        <v>13</v>
      </c>
      <c r="AN25" s="68" t="str">
        <f>IF(AL9&lt;2,"",IF(AL8&lt;7,"",IF(U24=2,U30-W30,IF(W24=2,W30-U30,""))))</f>
        <v/>
      </c>
      <c r="AO25" s="68" t="str">
        <f>IF(AL9&lt;2,"",IF(AL8&lt;8,"",IF(X24=2,X30-Z30,IF(Z24=2,Z30-X30,""))))</f>
        <v/>
      </c>
      <c r="AP25" s="68" t="str">
        <f>IF(AL9&lt;2,"",IF(AL8&lt;9,"",IF(AA24=2,AA30-AC30,IF(AC24=2,AC30-AA30,""))))</f>
        <v/>
      </c>
      <c r="AQ25" s="68" t="str">
        <f>IF(AL9&lt;2,"",IF(AL8&lt;10,"",IF(AD24=2,AD30-AF30,IF(AF24=2,AF30-AD30,""))))</f>
        <v/>
      </c>
      <c r="AR25" s="63">
        <f>SUM(AH25:AQ25)</f>
        <v>23</v>
      </c>
    </row>
    <row r="26" spans="1:47" ht="15" x14ac:dyDescent="0.25">
      <c r="A26" s="3" t="str">
        <f>IF(AL7&gt;1,"Game 2","")</f>
        <v/>
      </c>
      <c r="B26" s="69"/>
      <c r="C26" s="70" t="s">
        <v>52</v>
      </c>
      <c r="D26" s="71"/>
      <c r="E26" s="69"/>
      <c r="F26" s="70" t="str">
        <f>IF(AL8&gt;1,IF(AL7&gt;1,"/",""),"")</f>
        <v/>
      </c>
      <c r="G26" s="71"/>
      <c r="H26" s="69"/>
      <c r="I26" s="70" t="str">
        <f>IF(AL8&gt;2,IF(AL7&gt;1,"/",""),"")</f>
        <v/>
      </c>
      <c r="J26" s="71"/>
      <c r="K26" s="288"/>
      <c r="L26" s="69"/>
      <c r="M26" s="70" t="str">
        <f>IF(AL8&gt;3,IF(AL7&gt;1,"/",""),"")</f>
        <v/>
      </c>
      <c r="N26" s="71"/>
      <c r="O26" s="69"/>
      <c r="P26" s="70" t="str">
        <f>IF(AL8&gt;4,IF(AL7&gt;1,"/",""),"")</f>
        <v/>
      </c>
      <c r="Q26" s="71"/>
      <c r="R26" s="69"/>
      <c r="S26" s="70" t="str">
        <f>IF(AL8&gt;5,IF(AL7&gt;1,"/",""),"")</f>
        <v/>
      </c>
      <c r="T26" s="71"/>
      <c r="U26" s="69"/>
      <c r="V26" s="70" t="str">
        <f>IF(AL8&gt;6,IF(AL7&gt;1,"/",""),"")</f>
        <v/>
      </c>
      <c r="W26" s="71"/>
      <c r="X26" s="69"/>
      <c r="Y26" s="70" t="str">
        <f>IF(AL8&gt;7,IF(AL7&gt;1,"/",""),"")</f>
        <v/>
      </c>
      <c r="Z26" s="71"/>
      <c r="AA26" s="69"/>
      <c r="AB26" s="70" t="str">
        <f>IF(AL8&gt;8,IF(AL7&gt;1,"/",""),"")</f>
        <v/>
      </c>
      <c r="AC26" s="71"/>
      <c r="AD26" s="69"/>
      <c r="AE26" s="70" t="str">
        <f>IF(AL8&gt;9,IF(AL7&gt;1,"/",""),"")</f>
        <v/>
      </c>
      <c r="AF26" s="71"/>
      <c r="AG26" s="67" t="str">
        <f>IF(AL9&gt;2,"Team 3","")</f>
        <v>Team 3</v>
      </c>
      <c r="AH26" s="68">
        <f>IF(AL9&lt;3,"",IF(AL8&lt;1,"",IF(B24=3,B30-D30,IF(D24=3,D30-B30,""))))</f>
        <v>-4</v>
      </c>
      <c r="AI26" s="68" t="str">
        <f>IF(AL9&lt;3,"",IF(AL8&lt;2,"",IF(E24=3,E30-G30,IF(G24=3,G30-E30,""))))</f>
        <v/>
      </c>
      <c r="AJ26" s="68" t="str">
        <f>IF(AL9&lt;3,"",IF(AL8&lt;3,"",IF(H24=3,H30-J30,IF(J24=3,J30-H30,""))))</f>
        <v/>
      </c>
      <c r="AK26" s="68">
        <f>IF(AL9&lt;3,"",IF(AL8&lt;4,"",IF(L24=3,L30-N30,IF(N24=3,N30-L30,""))))</f>
        <v>2</v>
      </c>
      <c r="AL26" s="68">
        <f>IF(AL9&lt;3,"",IF(AL8&lt;5,"",IF(O24=3,O30-Q30,IF(Q24=3,Q30-O30,""))))</f>
        <v>-21</v>
      </c>
      <c r="AM26" s="68" t="str">
        <f>IF(AL9&lt;3,"",IF(AL8&lt;6,"",IF(R24=3,R30-T30,IF(T24=3,T30-R30,""))))</f>
        <v/>
      </c>
      <c r="AN26" s="68" t="str">
        <f>IF(AL9&lt;3,"",IF(AL8&lt;7,"",IF(U24=3,U30-W30,IF(W24=3,W30-U30,""))))</f>
        <v/>
      </c>
      <c r="AO26" s="68" t="str">
        <f>IF(AL9&lt;3,"",IF(AL8&lt;8,"",IF(X24=3,X30-Z30,IF(Z24=3,Z30-X30,""))))</f>
        <v/>
      </c>
      <c r="AP26" s="68" t="str">
        <f>IF(AL9&lt;3,"",IF(AL8&lt;9,"",IF(AA24=3,AA30-AC30,IF(AC24=3,AC30-AA30,""))))</f>
        <v/>
      </c>
      <c r="AQ26" s="68" t="str">
        <f>IF(AL9&lt;3,"",IF(AL8&lt;9,"",IF(AD24=3,AD30-AF30,IF(AF24=3,AF30-AD30,""))))</f>
        <v/>
      </c>
      <c r="AR26" s="63">
        <f>SUM(AH26:AQ26)</f>
        <v>-23</v>
      </c>
    </row>
    <row r="27" spans="1:47" ht="15" x14ac:dyDescent="0.25">
      <c r="A27" s="3" t="str">
        <f>IF(AL7&gt;2,"Game 3","")</f>
        <v/>
      </c>
      <c r="B27" s="69"/>
      <c r="C27" s="70" t="s">
        <v>52</v>
      </c>
      <c r="D27" s="71"/>
      <c r="E27" s="69"/>
      <c r="F27" s="70" t="str">
        <f>IF(AL8&gt;1,IF(AL7&gt;2,"/",""),"")</f>
        <v/>
      </c>
      <c r="G27" s="71"/>
      <c r="H27" s="69"/>
      <c r="I27" s="70" t="str">
        <f>IF(AL8&gt;2,IF(AL7&gt;2,"/",""),"")</f>
        <v/>
      </c>
      <c r="J27" s="71"/>
      <c r="K27" s="288"/>
      <c r="L27" s="69"/>
      <c r="M27" s="70" t="str">
        <f>IF(AL8&gt;3,IF(AL7&gt;2,"/",""),"")</f>
        <v/>
      </c>
      <c r="N27" s="71"/>
      <c r="O27" s="69"/>
      <c r="P27" s="70" t="str">
        <f>IF(AL8&gt;4,IF(AL7&gt;2,"/",""),"")</f>
        <v/>
      </c>
      <c r="Q27" s="71"/>
      <c r="R27" s="69"/>
      <c r="S27" s="70" t="str">
        <f>IF(AL8&gt;5,IF(AL7&gt;2,"/",""),"")</f>
        <v/>
      </c>
      <c r="T27" s="71"/>
      <c r="U27" s="69"/>
      <c r="V27" s="70" t="str">
        <f>IF(AL8&gt;6,IF(AL7&gt;2,"/",""),"")</f>
        <v/>
      </c>
      <c r="W27" s="71"/>
      <c r="X27" s="69"/>
      <c r="Y27" s="70" t="str">
        <f>IF(AL8&gt;7,IF(AL7&gt;2,"/",""),"")</f>
        <v/>
      </c>
      <c r="Z27" s="71"/>
      <c r="AA27" s="69"/>
      <c r="AB27" s="70" t="str">
        <f>IF(AL8&gt;8,IF(AL7&gt;2,"/",""),"")</f>
        <v/>
      </c>
      <c r="AC27" s="71"/>
      <c r="AD27" s="69"/>
      <c r="AE27" s="70" t="str">
        <f>IF(AL8&gt;9,IF(AL7&gt;2,"/",""),"")</f>
        <v/>
      </c>
      <c r="AF27" s="71"/>
      <c r="AG27" s="67" t="str">
        <f>IF(AL9&gt;3,"Team 4","")</f>
        <v>Team 4</v>
      </c>
      <c r="AH27" s="68" t="str">
        <f>IF(AL9&lt;4,"",IF(AL8&lt;1,"",IF(B24=4,B30-D30,IF(D24=4,D30-B30,""))))</f>
        <v/>
      </c>
      <c r="AI27" s="68">
        <f>IF(AL9&lt;4,"",IF(AL8&lt;2,"",IF(E24=4,E30-G30,IF(G24=4,G30-E30,""))))</f>
        <v>9</v>
      </c>
      <c r="AJ27" s="68">
        <f>IF(AL9&lt;4,"",IF(AL8&lt;3,"",IF(H24=4,H30-J30,IF(J24=4,J30-H30,""))))</f>
        <v>-6</v>
      </c>
      <c r="AK27" s="68" t="str">
        <f>IF(AL9&lt;4,"",IF(AL8&lt;4,"",IF(L24=4,L30-N30,IF(N24=4,N30-L30,""))))</f>
        <v/>
      </c>
      <c r="AL27" s="68">
        <f>IF(AL9&lt;4,"",IF(AL8&lt;5,"",IF(O24=4,O30-Q30,IF(Q24=4,Q30-O30,""))))</f>
        <v>21</v>
      </c>
      <c r="AM27" s="68" t="str">
        <f>IF(AL9&lt;4,"",IF(AL8&lt;6,"",IF(R24=4,R30-T30,IF(T24=4,T30-R30,""))))</f>
        <v/>
      </c>
      <c r="AN27" s="68" t="str">
        <f>IF(AL9&lt;4,"",IF(AL8&lt;7,"",IF(U24=4,U30-W30,IF(W24=4,W30-U30,""))))</f>
        <v/>
      </c>
      <c r="AO27" s="68" t="str">
        <f>IF(AL9&lt;4,"",IF(AL8&lt;8,"",IF(X24=4,X30-Z30,IF(Z24=4,Z30-X30,""))))</f>
        <v/>
      </c>
      <c r="AP27" s="68" t="str">
        <f>IF(AL9&lt;4,"",IF(AL8&lt;9,"",IF(AA24=4,AA30-AC30,IF(AC24=4,AC30-AA30,""))))</f>
        <v/>
      </c>
      <c r="AQ27" s="68" t="str">
        <f>IF(AL9&lt;4,"",IF(AL8&lt;10,"",IF(AD24=4,AD30-AF30,IF(AF24=4,AF30-AD30,""))))</f>
        <v/>
      </c>
      <c r="AR27" s="63">
        <f>SUM(AH27:AQ27)</f>
        <v>24</v>
      </c>
    </row>
    <row r="28" spans="1:47" ht="15" x14ac:dyDescent="0.25">
      <c r="A28" s="3" t="str">
        <f>IF(AL7&gt;3,"Game 4","")</f>
        <v/>
      </c>
      <c r="B28" s="69"/>
      <c r="C28" s="70" t="s">
        <v>52</v>
      </c>
      <c r="D28" s="71"/>
      <c r="E28" s="69"/>
      <c r="F28" s="70" t="str">
        <f>IF(AL8&gt;1,IF(AL7&gt;3,"/",""),"")</f>
        <v/>
      </c>
      <c r="G28" s="71"/>
      <c r="H28" s="69"/>
      <c r="I28" s="70" t="str">
        <f>IF(AL8&gt;2,IF(AL7&gt;3,"/",""),"")</f>
        <v/>
      </c>
      <c r="J28" s="71"/>
      <c r="K28" s="288"/>
      <c r="L28" s="69"/>
      <c r="M28" s="70" t="str">
        <f>IF(AL8&gt;3,IF(AL7&gt;3,"/",""),"")</f>
        <v/>
      </c>
      <c r="N28" s="71"/>
      <c r="O28" s="69"/>
      <c r="P28" s="70" t="str">
        <f>IF(AL8&gt;4,IF(AL7&gt;3,"/",""),"")</f>
        <v/>
      </c>
      <c r="Q28" s="71"/>
      <c r="R28" s="69"/>
      <c r="S28" s="70" t="str">
        <f>IF(AL8&gt;5,IF(AL7&gt;3,"/",""),"")</f>
        <v/>
      </c>
      <c r="T28" s="71"/>
      <c r="U28" s="69"/>
      <c r="V28" s="70" t="str">
        <f>IF(AL8&gt;6,IF(AL7&gt;3,"/",""),"")</f>
        <v/>
      </c>
      <c r="W28" s="71"/>
      <c r="X28" s="69"/>
      <c r="Y28" s="70" t="str">
        <f>IF(AL8&gt;7,IF(AL7&gt;3,"/",""),"")</f>
        <v/>
      </c>
      <c r="Z28" s="71"/>
      <c r="AA28" s="69"/>
      <c r="AB28" s="70" t="str">
        <f>IF(AL8&gt;8,IF(AL7&gt;3,"/",""),"")</f>
        <v/>
      </c>
      <c r="AC28" s="71"/>
      <c r="AD28" s="69"/>
      <c r="AE28" s="70" t="str">
        <f>IF(AL8&gt;9,IF(AL7&gt;3,"/",""),"")</f>
        <v/>
      </c>
      <c r="AF28" s="71"/>
      <c r="AG28" s="67" t="str">
        <f>IF(AL9&gt;4,"Team 5","")</f>
        <v/>
      </c>
      <c r="AH28" s="72" t="str">
        <f>IF(AL9&lt;5,"",IF(AL8&lt;1,"",IF(B24=5,B30-D30,IF(D24=5,D30-B30,""))))</f>
        <v/>
      </c>
      <c r="AI28" s="68" t="str">
        <f>IF(AL9&lt;5,"",IF(AL8&lt;2,"",IF(E24=5,E30-G30,IF(G24=5,G30-E30,""))))</f>
        <v/>
      </c>
      <c r="AJ28" s="68" t="str">
        <f>IF(AL9&lt;5,"",IF(AL8&lt;3,"",IF(H24=5,H30-J30,IF(J24=5,J30-H30,""))))</f>
        <v/>
      </c>
      <c r="AK28" s="68" t="str">
        <f>IF(AL9&lt;5,"",IF(AL8&lt;4,"",IF(L24=5,L30-N30,IF(N24=5,N30-L30,""))))</f>
        <v/>
      </c>
      <c r="AL28" s="68" t="str">
        <f>IF(AL9&lt;5,"",IF(AL8&lt;5,"",IF(O24=5,O30-Q30,IF(Q24=5,Q30-O30,""))))</f>
        <v/>
      </c>
      <c r="AM28" s="68" t="str">
        <f>IF(AL9&lt;5,"",IF(AL8&lt;6,"",IF(R24=5,R30-T30,IF(T24=5,T30-R30,""))))</f>
        <v/>
      </c>
      <c r="AN28" s="68" t="str">
        <f>IF(AL9&lt;5,"",IF(AL8&lt;7,"",IF(U24=5,U30-W30,IF(W24=5,W30-U30,""))))</f>
        <v/>
      </c>
      <c r="AO28" s="68" t="str">
        <f>IF(AL9&lt;5,"",IF(AL8&lt;8,"",IF(X24=5,X30-Z30,IF(Z24=5,Z30-X30,""))))</f>
        <v/>
      </c>
      <c r="AP28" s="68" t="str">
        <f>IF(AL9&lt;5,"",IF(AL8&lt;9,"",IF(AA24=5,AA30-AC30,IF(AC24=5,AC30-AA30,""))))</f>
        <v/>
      </c>
      <c r="AQ28" s="68" t="str">
        <f>IF(AL9&lt;5,"",IF(AL8&lt;10,"",IF(AD24=5,AD30-AF30,IF(AF24=5,AF30-AD30,""))))</f>
        <v/>
      </c>
      <c r="AR28" s="63">
        <f>SUM(AH28:AQ28)</f>
        <v>0</v>
      </c>
    </row>
    <row r="29" spans="1:47" ht="15" x14ac:dyDescent="0.25">
      <c r="A29" s="3" t="str">
        <f>IF(AL7&gt;4,"Game 5","")</f>
        <v/>
      </c>
      <c r="B29" s="69"/>
      <c r="C29" s="70" t="s">
        <v>52</v>
      </c>
      <c r="D29" s="71"/>
      <c r="E29" s="69"/>
      <c r="F29" s="70" t="str">
        <f>IF(AL8&gt;1,IF(AL7&gt;4,"/",""),"")</f>
        <v/>
      </c>
      <c r="G29" s="71"/>
      <c r="H29" s="69"/>
      <c r="I29" s="70" t="str">
        <f>IF(AL8&gt;2,IF(AL7&gt;4,"/",""),"")</f>
        <v/>
      </c>
      <c r="J29" s="71"/>
      <c r="K29" s="289"/>
      <c r="L29" s="69"/>
      <c r="M29" s="70" t="str">
        <f>IF(AL8&gt;3,IF(AL7&gt;4,"/",""),"")</f>
        <v/>
      </c>
      <c r="N29" s="71"/>
      <c r="O29" s="69"/>
      <c r="P29" s="70" t="str">
        <f>IF(AL8&gt;4,IF(AL7&gt;4,"/",""),"")</f>
        <v/>
      </c>
      <c r="Q29" s="71"/>
      <c r="R29" s="69"/>
      <c r="S29" s="70" t="str">
        <f>IF(AL8&gt;5,IF(AL7&gt;4,"/",""),"")</f>
        <v/>
      </c>
      <c r="T29" s="71"/>
      <c r="U29" s="69"/>
      <c r="V29" s="70" t="str">
        <f>IF(AL8&gt;6,IF(AL7&gt;4,"/",""),"")</f>
        <v/>
      </c>
      <c r="W29" s="71"/>
      <c r="X29" s="69"/>
      <c r="Y29" s="70" t="str">
        <f>IF(AL8&gt;7,IF(AL7&gt;4,"/",""),"")</f>
        <v/>
      </c>
      <c r="Z29" s="71"/>
      <c r="AA29" s="69"/>
      <c r="AB29" s="70" t="str">
        <f>IF(AL8&gt;8,IF(AL7&gt;4,"/",""),"")</f>
        <v/>
      </c>
      <c r="AC29" s="71"/>
      <c r="AD29" s="69"/>
      <c r="AE29" s="70" t="str">
        <f>IF(AL8&gt;9,IF(AL7&gt;4,"/",""),"")</f>
        <v/>
      </c>
      <c r="AF29" s="7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</row>
    <row r="30" spans="1:47" hidden="1" x14ac:dyDescent="0.25">
      <c r="A30" s="73"/>
      <c r="B30" s="73">
        <f>IF($AL7=5,SUM(B25:B29),IF($AL7=4,SUM(B25:B28),IF($AL7=3,SUM(B25:B27),IF($AL7=2,SUM(B25:B26),B25))))</f>
        <v>28</v>
      </c>
      <c r="C30" s="73"/>
      <c r="D30" s="73">
        <f>IF($AL7=5,SUM(D25:D29),IF($AL7=4,SUM(D25:D28),IF($AL7=3,SUM(D25:D27),IF($AL7=2,SUM(D25:D26),D25))))</f>
        <v>24</v>
      </c>
      <c r="E30" s="73">
        <f>IF($AL7=5,SUM(E25:E29),IF($AL7=4,SUM(E25:E28),IF($AL7=3,SUM(E25:E27),IF($AL7=2,SUM(E25:E26),E25))))</f>
        <v>21</v>
      </c>
      <c r="F30" s="73"/>
      <c r="G30" s="73">
        <f>IF($AL7=5,SUM(G25:G29),IF($AL7=4,SUM(G25:G28),IF($AL7=3,SUM(G25:G27),IF($AL7=2,SUM(G25:G26),G25))))</f>
        <v>30</v>
      </c>
      <c r="H30" s="73">
        <f>IF($AL7=5,SUM(H25:H29),IF($AL7=4,SUM(H25:H28),IF($AL7=3,SUM(H25:H27),IF($AL7=2,SUM(H25:H26),H25))))</f>
        <v>27</v>
      </c>
      <c r="I30" s="73"/>
      <c r="J30" s="73">
        <f>IF($AL7=5,SUM(J25:J29),IF($AL7=4,SUM(J25:J28),IF($AL7=3,SUM(J25:J27),IF($AL7=2,SUM(J25:J26),J25))))</f>
        <v>21</v>
      </c>
      <c r="K30" s="73"/>
      <c r="L30" s="73">
        <f>IF($AL7=5,SUM(L25:L29),IF($AL7=4,SUM(L25:L28),IF($AL7=3,SUM(L25:L27),IF($AL7=2,SUM(L25:L26),L25))))</f>
        <v>23</v>
      </c>
      <c r="M30" s="73"/>
      <c r="N30" s="73">
        <f>IF($AL7=5,SUM(N25:N29),IF($AL7=4,SUM(N25:N28),IF($AL7=3,SUM(N25:N27),IF($AL7=2,SUM(N25:N26),N25))))</f>
        <v>25</v>
      </c>
      <c r="O30" s="73">
        <f>IF($AL7=5,SUM(O25:O29),IF($AL7=4,SUM(O25:O28),IF($AL7=3,SUM(O25:O27),IF($AL7=2,SUM(O25:O26),O25))))</f>
        <v>13</v>
      </c>
      <c r="P30" s="73"/>
      <c r="Q30" s="73">
        <f>IF($AL7=5,SUM(Q25:Q29),IF($AL7=4,SUM(Q25:Q28),IF($AL7=3,SUM(Q25:Q27),IF($AL7=2,SUM(Q25:Q26),Q25))))</f>
        <v>34</v>
      </c>
      <c r="R30" s="73">
        <f>IF($AL7=5,SUM(R25:R29),IF($AL7=4,SUM(R25:R28),IF($AL7=3,SUM(R25:R27),IF($AL7=2,SUM(R25:R26),R25))))</f>
        <v>20</v>
      </c>
      <c r="S30" s="73"/>
      <c r="T30" s="73">
        <f>IF($AL7=5,SUM(T25:T29),IF($AL7=4,SUM(T25:T28),IF($AL7=3,SUM(T25:T27),IF($AL7=2,SUM(T25:T26),T25))))</f>
        <v>33</v>
      </c>
      <c r="U30" s="73">
        <f>IF($AL7=5,SUM(U25:U29),IF($AL7=4,SUM(U25:U28),IF($AL7=3,SUM(U25:U27),IF($AL7=2,SUM(U25:U26),U25))))</f>
        <v>0</v>
      </c>
      <c r="V30" s="73"/>
      <c r="W30" s="73">
        <f>IF($AL7=5,SUM(W25:W29),IF($AL7=4,SUM(W25:W28),IF($AL7=3,SUM(W25:W27),IF($AL7=2,SUM(W25:W26),W25))))</f>
        <v>0</v>
      </c>
      <c r="X30" s="73">
        <f>IF($AL7=5,SUM(X25:X29),IF($AL7=4,SUM(X25:X28),IF($AL7=3,SUM(X25:X27),IF($AL7=2,SUM(X25:X26),X25))))</f>
        <v>0</v>
      </c>
      <c r="Y30" s="73"/>
      <c r="Z30" s="73">
        <f>IF($AL7=5,SUM(Z25:Z29),IF($AL7=4,SUM(Z25:Z28),IF($AL7=3,SUM(Z25:Z27),IF($AL7=2,SUM(Z25:Z26),Z25))))</f>
        <v>0</v>
      </c>
      <c r="AA30" s="73">
        <f>IF($AL7=5,SUM(AA25:AA29),IF($AL7=4,SUM(AA25:AA28),IF($AL7=3,SUM(AA25:AA27),IF($AL7=2,SUM(AA25:AA26),AA25))))</f>
        <v>0</v>
      </c>
      <c r="AB30" s="73"/>
      <c r="AC30" s="73">
        <f>IF($AL7=5,SUM(AC25:AC29),IF($AL7=4,SUM(AC25:AC28),IF($AL7=3,SUM(AC25:AC27),IF($AL7=2,SUM(AC25:AC26),AC25))))</f>
        <v>0</v>
      </c>
      <c r="AD30" s="73">
        <f>IF($AL7=5,SUM(AD25:AD29),IF($AL7=4,SUM(AD25:AD28),IF($AL7=3,SUM(AD25:AD27),IF($AL7=2,SUM(AD25:AD26),AD25))))</f>
        <v>0</v>
      </c>
      <c r="AE30" s="73"/>
      <c r="AF30" s="73">
        <f>IF($AL7=5,SUM(AF25:AF29),IF($AL7=4,SUM(AF25:AF28),IF($AL7=3,SUM(AF25:AF27),IF($AL7=2,SUM(AF25:AF26),AF25))))</f>
        <v>0</v>
      </c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</row>
    <row r="31" spans="1:47" s="74" customFormat="1" ht="12.75" hidden="1" customHeight="1" x14ac:dyDescent="0.25">
      <c r="A31" s="74" t="s">
        <v>53</v>
      </c>
      <c r="B31" s="75">
        <f>IF(AND(B25&gt;D25,$AL8&gt;0,ISNUMBER(B25),ISNUMBER(D25)),1,0)</f>
        <v>1</v>
      </c>
      <c r="C31" s="75"/>
      <c r="D31" s="76">
        <f>IF(AND(D25&gt;B25,$AL8&gt;0,ISNUMBER(B25),ISNUMBER(D25)),1,0)</f>
        <v>0</v>
      </c>
      <c r="E31" s="75">
        <f>IF(AND(E25&gt;G25,$AL8&gt;1,ISNUMBER(E25),ISNUMBER(G25)),1,0)</f>
        <v>0</v>
      </c>
      <c r="F31" s="75"/>
      <c r="G31" s="76">
        <f>IF(AND(G25&gt;E25,$AL8&gt;1,ISNUMBER(E25),ISNUMBER(G25)),1,0)</f>
        <v>1</v>
      </c>
      <c r="H31" s="75">
        <f>IF(AND(H25&gt;J25,$AL8&gt;2,ISNUMBER(H25),ISNUMBER(J25)),1,0)</f>
        <v>1</v>
      </c>
      <c r="I31" s="75"/>
      <c r="J31" s="76">
        <f>IF(AND(J25&gt;H25,$AL8&gt;2,ISNUMBER(H25),ISNUMBER(J25)),1,0)</f>
        <v>0</v>
      </c>
      <c r="K31" s="77"/>
      <c r="L31" s="75">
        <f>IF(AND(L25&gt;N25,$AL8&gt;3,ISNUMBER(L25),ISNUMBER(N25)),1,0)</f>
        <v>0</v>
      </c>
      <c r="M31" s="75"/>
      <c r="N31" s="76">
        <f>IF(AND(N25&gt;L25,$AL8&gt;3,ISNUMBER(L25),ISNUMBER(N25)),1,0)</f>
        <v>1</v>
      </c>
      <c r="O31" s="75">
        <f>IF(AND(O25&gt;Q25,$AL8&gt;4,ISNUMBER(O25),ISNUMBER(Q25)),1,0)</f>
        <v>0</v>
      </c>
      <c r="P31" s="75"/>
      <c r="Q31" s="76">
        <f>IF(AND(Q25&gt;O25,$AL8&gt;4,ISNUMBER(O25),ISNUMBER(Q25)),1,0)</f>
        <v>1</v>
      </c>
      <c r="R31" s="75">
        <f>IF(AND(R25&gt;T25,$AL8&gt;5,ISNUMBER(R25),ISNUMBER(T25)),1,0)</f>
        <v>0</v>
      </c>
      <c r="S31" s="75"/>
      <c r="T31" s="76">
        <f>IF(AND(T25&gt;R25,$AL8&gt;5,ISNUMBER(R25),ISNUMBER(T25)),1,0)</f>
        <v>1</v>
      </c>
      <c r="U31" s="75">
        <f>IF(AND(U25&gt;W25,$AL8&gt;6,ISNUMBER(U25),ISNUMBER(W25)),1,0)</f>
        <v>0</v>
      </c>
      <c r="V31" s="75"/>
      <c r="W31" s="76">
        <f>IF(AND(W25&gt;U25,$AL8&gt;6,ISNUMBER(U25),ISNUMBER(W25)),1,0)</f>
        <v>0</v>
      </c>
      <c r="X31" s="75">
        <f>IF(AND(X25&gt;Z25,$AL8&gt;7,ISNUMBER(X25),ISNUMBER(Z25)),1,0)</f>
        <v>0</v>
      </c>
      <c r="Y31" s="75"/>
      <c r="Z31" s="76">
        <f>IF(AND(Z25&gt;X25,$AL8&gt;7,ISNUMBER(X25),ISNUMBER(Z25)),1,0)</f>
        <v>0</v>
      </c>
      <c r="AA31" s="75">
        <f>IF(AND(AA25&gt;AC25,$AL8&gt;8,ISNUMBER(AA25),ISNUMBER(AC25)),1,0)</f>
        <v>0</v>
      </c>
      <c r="AB31" s="75"/>
      <c r="AC31" s="76">
        <f>IF(AND(AC25&gt;AA25,$AL8&gt;8,ISNUMBER(AA25),ISNUMBER(AC25)),1,0)</f>
        <v>0</v>
      </c>
      <c r="AD31" s="75">
        <f>IF(AND(AD25&gt;AF25,$AL8&gt;9,ISNUMBER(AD25),ISNUMBER(AF25)),1,0)</f>
        <v>0</v>
      </c>
      <c r="AE31" s="75"/>
      <c r="AF31" s="76">
        <f>IF(AND(AF25&gt;AD25,$AL8&gt;9,ISNUMBER(AD25),ISNUMBER(AF25)),1,0)</f>
        <v>0</v>
      </c>
    </row>
    <row r="32" spans="1:47" s="74" customFormat="1" ht="12.75" hidden="1" customHeight="1" x14ac:dyDescent="0.25">
      <c r="A32" s="74" t="s">
        <v>54</v>
      </c>
      <c r="B32" s="75">
        <f>IF(AND(B26&gt;D26,$AL8&gt;0,$AL7&gt;1,ISNUMBER(B26),ISNUMBER(D26)),1,0)</f>
        <v>0</v>
      </c>
      <c r="C32" s="75"/>
      <c r="D32" s="76">
        <f>IF(AND(D26&gt;B26,$AL8&gt;0,$AL7&gt;1,ISNUMBER(B26),ISNUMBER(D26)),1,0)</f>
        <v>0</v>
      </c>
      <c r="E32" s="75">
        <f>IF(AND(E26&gt;G26,$AL8&gt;1,$AL7&gt;1,ISNUMBER(E26),ISNUMBER(G26)),1,0)</f>
        <v>0</v>
      </c>
      <c r="F32" s="75"/>
      <c r="G32" s="76">
        <f>IF(AND(G26&gt;E26,$AL8&gt;1,$AL7&gt;1,ISNUMBER(E26),ISNUMBER(G26)),1,0)</f>
        <v>0</v>
      </c>
      <c r="H32" s="75">
        <f>IF(AND(H26&gt;J26,$AL8&gt;2,$AL7&gt;1,ISNUMBER(H26),ISNUMBER(J26)),1,0)</f>
        <v>0</v>
      </c>
      <c r="I32" s="75"/>
      <c r="J32" s="76">
        <f>IF(AND(J26&gt;H26,$AL8&gt;2,$AL7&gt;1,ISNUMBER(H26),ISNUMBER(J26)),1,0)</f>
        <v>0</v>
      </c>
      <c r="K32" s="77"/>
      <c r="L32" s="75">
        <f>IF(AND(L26&gt;N26,$AL8&gt;3,$AL7&gt;1,ISNUMBER(L26),ISNUMBER(N26)),1,0)</f>
        <v>0</v>
      </c>
      <c r="M32" s="75"/>
      <c r="N32" s="76">
        <f>IF(AND(N26&gt;L26,$AL8&gt;3,$AL7&gt;1,ISNUMBER(L26),ISNUMBER(N26)),1,0)</f>
        <v>0</v>
      </c>
      <c r="O32" s="75">
        <f>IF(AND(O26&gt;Q26,$AL8&gt;4,$AL7&gt;1,ISNUMBER(O26),ISNUMBER(Q26)),1,0)</f>
        <v>0</v>
      </c>
      <c r="P32" s="75"/>
      <c r="Q32" s="76">
        <f>IF(AND(Q26&gt;O26,$AL8&gt;4,$AL7&gt;1,ISNUMBER(O26),ISNUMBER(Q26)),1,0)</f>
        <v>0</v>
      </c>
      <c r="R32" s="75">
        <f>IF(AND(R26&gt;T26,$AL8&gt;5,$AL7&gt;1,ISNUMBER(R26),ISNUMBER(T26)),1,0)</f>
        <v>0</v>
      </c>
      <c r="S32" s="75"/>
      <c r="T32" s="76">
        <f>IF(AND(T26&gt;R26,$AL8&gt;5,$AL7&gt;1,ISNUMBER(R26),ISNUMBER(T26)),1,0)</f>
        <v>0</v>
      </c>
      <c r="U32" s="75">
        <f>IF(AND(U26&gt;W26,$AL8&gt;6,$AL7&gt;1,ISNUMBER(U26),ISNUMBER(W26)),1,0)</f>
        <v>0</v>
      </c>
      <c r="V32" s="75"/>
      <c r="W32" s="76">
        <f>IF(AND(W26&gt;U26,$AL8&gt;6,$AL7&gt;1,ISNUMBER(U26),ISNUMBER(W26)),1,0)</f>
        <v>0</v>
      </c>
      <c r="X32" s="75">
        <f>IF(AND(X26&gt;Z26,$AL8&gt;7,$AL7&gt;1,ISNUMBER(X26),ISNUMBER(Z26)),1,0)</f>
        <v>0</v>
      </c>
      <c r="Y32" s="75"/>
      <c r="Z32" s="76">
        <f>IF(AND(Z26&gt;X26,$AL8&gt;7,$AL7&gt;1,ISNUMBER(X26),ISNUMBER(Z26)),1,0)</f>
        <v>0</v>
      </c>
      <c r="AA32" s="75">
        <f>IF(AND(AA26&gt;AC26,$AL8&gt;8,$AL7&gt;1,ISNUMBER(AA26),ISNUMBER(AC26)),1,0)</f>
        <v>0</v>
      </c>
      <c r="AB32" s="75"/>
      <c r="AC32" s="76">
        <f>IF(AND(AC26&gt;AA26,$AL8&gt;8,$AL7&gt;1,ISNUMBER(AA26),ISNUMBER(AC26)),1,0)</f>
        <v>0</v>
      </c>
      <c r="AD32" s="75">
        <f>IF(AND(AD26&gt;AF26,$AL8&gt;9,$AL7&gt;1,ISNUMBER(AD26),ISNUMBER(AF26)),1,0)</f>
        <v>0</v>
      </c>
      <c r="AE32" s="75"/>
      <c r="AF32" s="76">
        <f>IF(AND(AF26&gt;AD26,$AL8&gt;9,$AL7&gt;1,ISNUMBER(AD26),ISNUMBER(AF26)),1,0)</f>
        <v>0</v>
      </c>
    </row>
    <row r="33" spans="1:34" s="74" customFormat="1" ht="12.75" hidden="1" customHeight="1" x14ac:dyDescent="0.25">
      <c r="A33" s="74" t="s">
        <v>55</v>
      </c>
      <c r="B33" s="75">
        <f>IF(AND(B27&gt;D27,$AL8&gt;0,$AL7&gt;2,ISNUMBER(B27),ISNUMBER(D27)),1,0)</f>
        <v>0</v>
      </c>
      <c r="C33" s="75"/>
      <c r="D33" s="76">
        <f>IF(AND(D27&gt;B27,$AL8&gt;0,$AL7&gt;2,ISNUMBER(B27),ISNUMBER(D27)),1,0)</f>
        <v>0</v>
      </c>
      <c r="E33" s="75">
        <f>IF(AND(E27&gt;G27,$AL8&gt;1,$AL7&gt;2,ISNUMBER(E27),ISNUMBER(G27)),1,0)</f>
        <v>0</v>
      </c>
      <c r="F33" s="75"/>
      <c r="G33" s="76">
        <f>IF(AND(G27&gt;E27,$AL8&gt;1,$AL7&gt;2,ISNUMBER(E27),ISNUMBER(G27)),1,0)</f>
        <v>0</v>
      </c>
      <c r="H33" s="75">
        <f>IF(AND(H27&gt;J27,$AL8&gt;2,$AL7&gt;2,ISNUMBER(H27),ISNUMBER(J27)),1,0)</f>
        <v>0</v>
      </c>
      <c r="I33" s="75"/>
      <c r="J33" s="76">
        <f>IF(AND(J27&gt;H27,$AL8&gt;2,$AL7&gt;2,ISNUMBER(H27),ISNUMBER(J27)),1,0)</f>
        <v>0</v>
      </c>
      <c r="K33" s="77"/>
      <c r="L33" s="75">
        <f>IF(AND(L27&gt;N27,$AL8&gt;3,$AL7&gt;2,ISNUMBER(L27),ISNUMBER(N27)),1,0)</f>
        <v>0</v>
      </c>
      <c r="M33" s="75"/>
      <c r="N33" s="76">
        <f>IF(AND(N27&gt;L27,$AL8&gt;3,$AL7&gt;2,ISNUMBER(L27),ISNUMBER(N27)),1,0)</f>
        <v>0</v>
      </c>
      <c r="O33" s="75">
        <f>IF(AND(O27&gt;Q27,$AL8&gt;4,$AL7&gt;2,ISNUMBER(O27),ISNUMBER(Q27)),1,0)</f>
        <v>0</v>
      </c>
      <c r="P33" s="75"/>
      <c r="Q33" s="76">
        <f>IF(AND(Q27&gt;O27,$AL8&gt;4,$AL7&gt;2,ISNUMBER(O27),ISNUMBER(Q27)),1,0)</f>
        <v>0</v>
      </c>
      <c r="R33" s="75">
        <f>IF(AND(R27&gt;T27,$AL8&gt;5,$AL7&gt;2,ISNUMBER(R27),ISNUMBER(T27)),1,0)</f>
        <v>0</v>
      </c>
      <c r="S33" s="75"/>
      <c r="T33" s="76">
        <f>IF(AND(T27&gt;R27,$AL8&gt;5,$AL7&gt;2,ISNUMBER(R27),ISNUMBER(T27)),1,0)</f>
        <v>0</v>
      </c>
      <c r="U33" s="75">
        <f>IF(AND(U27&gt;W27,$AL8&gt;6,$AL7&gt;2,ISNUMBER(U27),ISNUMBER(W27)),1,0)</f>
        <v>0</v>
      </c>
      <c r="V33" s="75"/>
      <c r="W33" s="76">
        <f>IF(AND(W27&gt;U27,$AL8&gt;6,$AL7&gt;2,ISNUMBER(U27),ISNUMBER(W27)),1,0)</f>
        <v>0</v>
      </c>
      <c r="X33" s="75">
        <f>IF(AND(X27&gt;Z27,$AL8&gt;7,$AL7&gt;2,ISNUMBER(X27),ISNUMBER(Z27)),1,0)</f>
        <v>0</v>
      </c>
      <c r="Y33" s="75"/>
      <c r="Z33" s="76">
        <f>IF(AND(Z27&gt;X27,$AL8&gt;7,$AL7&gt;2,ISNUMBER(X27),ISNUMBER(Z27)),1,0)</f>
        <v>0</v>
      </c>
      <c r="AA33" s="75">
        <f>IF(AND(AA27&gt;AC27,$AL8&gt;8,$AL7&gt;2,ISNUMBER(AA27),ISNUMBER(AC27)),1,0)</f>
        <v>0</v>
      </c>
      <c r="AB33" s="75"/>
      <c r="AC33" s="76">
        <f>IF(AND(AC27&gt;AA27,$AL8&gt;8,$AL7&gt;2,ISNUMBER(AA27),ISNUMBER(AC27)),1,0)</f>
        <v>0</v>
      </c>
      <c r="AD33" s="75">
        <f>IF(AND(AD27&gt;AF27,$AL8&gt;9,$AL7&gt;2,ISNUMBER(AD27),ISNUMBER(AF27)),1,0)</f>
        <v>0</v>
      </c>
      <c r="AE33" s="75"/>
      <c r="AF33" s="76">
        <f>IF(AND(AF27&gt;AD27,$AL8&gt;9,$AL7&gt;2,ISNUMBER(AD27),ISNUMBER(AF27)),1,0)</f>
        <v>0</v>
      </c>
    </row>
    <row r="34" spans="1:34" s="74" customFormat="1" ht="12.75" hidden="1" customHeight="1" x14ac:dyDescent="0.25">
      <c r="A34" s="74" t="s">
        <v>56</v>
      </c>
      <c r="B34" s="75">
        <f>IF(AND(B28&gt;D28,$AL8&gt;0,$AL7&gt;3,ISNUMBER(B28),ISNUMBER(D28)),1,0)</f>
        <v>0</v>
      </c>
      <c r="C34" s="75"/>
      <c r="D34" s="76">
        <f>IF(AND(D28&gt;B28,$AL8&gt;0,$AL7&gt;3,ISNUMBER(B28),ISNUMBER(D28)),1,0)</f>
        <v>0</v>
      </c>
      <c r="E34" s="75">
        <f>IF(AND(E28&gt;G28,$AL8&gt;1,$AL7&gt;3,ISNUMBER(E28),ISNUMBER(G28)),1,0)</f>
        <v>0</v>
      </c>
      <c r="F34" s="75"/>
      <c r="G34" s="76">
        <f>IF(AND(G28&gt;E28,$AL8&gt;1,$AL7&gt;3,ISNUMBER(E28),ISNUMBER(G28)),1,0)</f>
        <v>0</v>
      </c>
      <c r="H34" s="75">
        <f>IF(AND(H28&gt;J28,$AL8&gt;2,$AL7&gt;3,ISNUMBER(H28),ISNUMBER(J28)),1,0)</f>
        <v>0</v>
      </c>
      <c r="I34" s="75"/>
      <c r="J34" s="76">
        <f>IF(AND(J28&gt;H28,$AL8&gt;2,$AL7&gt;3,ISNUMBER(H28),ISNUMBER(J28)),1,0)</f>
        <v>0</v>
      </c>
      <c r="K34" s="77"/>
      <c r="L34" s="75">
        <f>IF(AND(L28&gt;N28,$AL8&gt;3,$AL7&gt;3,ISNUMBER(L28),ISNUMBER(N28)),1,0)</f>
        <v>0</v>
      </c>
      <c r="M34" s="75"/>
      <c r="N34" s="76">
        <f>IF(AND(N28&gt;L28,$AL8&gt;3,$AL7&gt;3,ISNUMBER(L28),ISNUMBER(N28)),1,0)</f>
        <v>0</v>
      </c>
      <c r="O34" s="75">
        <f>IF(AND(O28&gt;Q28,$AL8&gt;4,$AL7&gt;3,ISNUMBER(O28),ISNUMBER(Q28)),1,0)</f>
        <v>0</v>
      </c>
      <c r="P34" s="75"/>
      <c r="Q34" s="76">
        <f>IF(AND(Q28&gt;O28,$AL8&gt;4,$AL7&gt;3,ISNUMBER(O28),ISNUMBER(Q28)),1,0)</f>
        <v>0</v>
      </c>
      <c r="R34" s="75">
        <f>IF(AND(R28&gt;T28,$AL8&gt;5,$AL7&gt;3,ISNUMBER(R28),ISNUMBER(T28)),1,0)</f>
        <v>0</v>
      </c>
      <c r="S34" s="75"/>
      <c r="T34" s="76">
        <f>IF(AND(T28&gt;R28,$AL8&gt;5,$AL7&gt;3,ISNUMBER(R28),ISNUMBER(T28)),1,0)</f>
        <v>0</v>
      </c>
      <c r="U34" s="75">
        <f>IF(AND(U28&gt;W28,$AL8&gt;6,$AL7&gt;3,ISNUMBER(U28),ISNUMBER(W28)),1,0)</f>
        <v>0</v>
      </c>
      <c r="V34" s="75"/>
      <c r="W34" s="76">
        <f>IF(AND(W28&gt;U28,$AL8&gt;6,$AL7&gt;3,ISNUMBER(U28),ISNUMBER(W28)),1,0)</f>
        <v>0</v>
      </c>
      <c r="X34" s="75">
        <f>IF(AND(X28&gt;Z28,$AL8&gt;7,$AL7&gt;3,ISNUMBER(X28),ISNUMBER(Z28)),1,0)</f>
        <v>0</v>
      </c>
      <c r="Y34" s="75"/>
      <c r="Z34" s="76">
        <f>IF(AND(Z28&gt;X28,$AL8&gt;7,$AL7&gt;3,ISNUMBER(X28),ISNUMBER(Z28)),1,0)</f>
        <v>0</v>
      </c>
      <c r="AA34" s="75">
        <f>IF(AND(AA28&gt;AC28,$AL8&gt;8,$AL7&gt;3,ISNUMBER(AA28),ISNUMBER(AC28)),1,0)</f>
        <v>0</v>
      </c>
      <c r="AB34" s="75"/>
      <c r="AC34" s="76">
        <f>IF(AND(AC28&gt;AA28,$AL8&gt;8,$AL7&gt;3,ISNUMBER(AA28),ISNUMBER(AC28)),1,0)</f>
        <v>0</v>
      </c>
      <c r="AD34" s="75">
        <f>IF(AND(AD28&gt;AF28,$AL8&gt;9,$AL7&gt;3,ISNUMBER(AD28),ISNUMBER(AF28)),1,0)</f>
        <v>0</v>
      </c>
      <c r="AE34" s="75"/>
      <c r="AF34" s="76">
        <f>IF(AND(AF28&gt;AD28,$AL8&gt;9,$AL7&gt;3,ISNUMBER(AD28),ISNUMBER(AF28)),1,0)</f>
        <v>0</v>
      </c>
    </row>
    <row r="35" spans="1:34" s="74" customFormat="1" ht="12.75" hidden="1" customHeight="1" x14ac:dyDescent="0.25">
      <c r="A35" s="74" t="s">
        <v>57</v>
      </c>
      <c r="B35" s="75">
        <f>IF(AND(B29&gt;D29,$AL8&gt;0,$AL7&gt;4,ISNUMBER(B29),ISNUMBER(D29)),1,0)</f>
        <v>0</v>
      </c>
      <c r="C35" s="75"/>
      <c r="D35" s="76">
        <f>IF(AND(D29&gt;B29,$AL8&gt;0,$AL7&gt;4,ISNUMBER(B29),ISNUMBER(D29)),1,0)</f>
        <v>0</v>
      </c>
      <c r="E35" s="75">
        <f>IF(AND(E29&gt;G29,$AL8&gt;1,$AL7&gt;4,ISNUMBER(E29),ISNUMBER(G29)),1,0)</f>
        <v>0</v>
      </c>
      <c r="F35" s="75"/>
      <c r="G35" s="76">
        <f>IF(AND(G29&gt;E29,$AL8&gt;1,$AL7&gt;4,ISNUMBER(E29),ISNUMBER(G29)),1,0)</f>
        <v>0</v>
      </c>
      <c r="H35" s="75">
        <f>IF(AND(H29&gt;J29,$AL8&gt;2,$AL7&gt;4,ISNUMBER(H29),ISNUMBER(J29)),1,0)</f>
        <v>0</v>
      </c>
      <c r="I35" s="75"/>
      <c r="J35" s="76">
        <f>IF(AND(J29&gt;H29,$AL8&gt;2,$AL7&gt;4,ISNUMBER(H29),ISNUMBER(J29)),1,0)</f>
        <v>0</v>
      </c>
      <c r="K35" s="77"/>
      <c r="L35" s="75">
        <f>IF(AND(L29&gt;N29,$AL8&gt;3,$AL7&gt;4,ISNUMBER(L29),ISNUMBER(N29)),1,0)</f>
        <v>0</v>
      </c>
      <c r="M35" s="75"/>
      <c r="N35" s="76">
        <f>IF(AND(N29&gt;L29,$AL8&gt;3,$AL7&gt;4,ISNUMBER(L29),ISNUMBER(N29)),1,0)</f>
        <v>0</v>
      </c>
      <c r="O35" s="75">
        <f>IF(AND(O29&gt;Q29,$AL8&gt;4,$AL7&gt;4,ISNUMBER(O29),ISNUMBER(Q29)),1,0)</f>
        <v>0</v>
      </c>
      <c r="P35" s="75"/>
      <c r="Q35" s="76">
        <f>IF(AND(Q29&gt;O29,$AL8&gt;4,$AL7&gt;4,ISNUMBER(O29),ISNUMBER(Q29)),1,0)</f>
        <v>0</v>
      </c>
      <c r="R35" s="75">
        <f>IF(AND(R29&gt;T29,$AL8&gt;5,$AL7&gt;4,ISNUMBER(R29),ISNUMBER(T29)),1,0)</f>
        <v>0</v>
      </c>
      <c r="S35" s="75"/>
      <c r="T35" s="76">
        <f>IF(AND(T29&gt;R29,$AL8&gt;5,$AL7&gt;4,ISNUMBER(R29),ISNUMBER(T29)),1,0)</f>
        <v>0</v>
      </c>
      <c r="U35" s="75">
        <f>IF(AND(U29&gt;W29,$AL8&gt;6,$AL7&gt;4,ISNUMBER(U29),ISNUMBER(W29)),1,0)</f>
        <v>0</v>
      </c>
      <c r="V35" s="75"/>
      <c r="W35" s="76">
        <f>IF(AND(W29&gt;U29,$AL8&gt;6,$AL7&gt;4,ISNUMBER(U29),ISNUMBER(W29)),1,0)</f>
        <v>0</v>
      </c>
      <c r="X35" s="75">
        <f>IF(AND(X29&gt;Z29,$AL8&gt;7,$AL7&gt;4,ISNUMBER(X29),ISNUMBER(Z29)),1,0)</f>
        <v>0</v>
      </c>
      <c r="Y35" s="75"/>
      <c r="Z35" s="76">
        <f>IF(AND(Z29&gt;X29,$AL8&gt;7,$AL7&gt;4,ISNUMBER(X29),ISNUMBER(Z29)),1,0)</f>
        <v>0</v>
      </c>
      <c r="AA35" s="75">
        <f>IF(AND(AA29&gt;AC29,$AL8&gt;8,$AL7&gt;4,ISNUMBER(AA29),ISNUMBER(AC29)),1,0)</f>
        <v>0</v>
      </c>
      <c r="AB35" s="75"/>
      <c r="AC35" s="76">
        <f>IF(AND(AC29&gt;AA29,$AL8&gt;8,$AL7&gt;4,ISNUMBER(AA29),ISNUMBER(AC29)),1,0)</f>
        <v>0</v>
      </c>
      <c r="AD35" s="75">
        <f>IF(AND(AD29&gt;AF29,$AL8&gt;9,$AL7&gt;4,ISNUMBER(AD29),ISNUMBER(AF29)),1,0)</f>
        <v>0</v>
      </c>
      <c r="AE35" s="75"/>
      <c r="AF35" s="76">
        <f>IF(AND(AF29&gt;AD29,$AL8&gt;9,$AL7&gt;4,ISNUMBER(AD29),ISNUMBER(AF29)),1,0)</f>
        <v>0</v>
      </c>
    </row>
    <row r="36" spans="1:34" s="74" customFormat="1" ht="38.25" hidden="1" customHeight="1" x14ac:dyDescent="0.25">
      <c r="A36" s="78" t="s">
        <v>58</v>
      </c>
      <c r="B36" s="74">
        <f>SUM(B31:B35)</f>
        <v>1</v>
      </c>
      <c r="D36" s="77">
        <f>SUM(D31:D35)</f>
        <v>0</v>
      </c>
      <c r="E36" s="74">
        <f>SUM(E31:E35)</f>
        <v>0</v>
      </c>
      <c r="G36" s="77">
        <f>SUM(G31:G35)</f>
        <v>1</v>
      </c>
      <c r="H36" s="74">
        <f>SUM(H31:H35)</f>
        <v>1</v>
      </c>
      <c r="J36" s="77">
        <f>SUM(J31:J35)</f>
        <v>0</v>
      </c>
      <c r="K36" s="77"/>
      <c r="L36" s="74">
        <f>SUM(L31:L35)</f>
        <v>0</v>
      </c>
      <c r="N36" s="77">
        <f>SUM(N31:N35)</f>
        <v>1</v>
      </c>
      <c r="O36" s="74">
        <f>SUM(O31:O35)</f>
        <v>0</v>
      </c>
      <c r="Q36" s="77">
        <f>SUM(Q31:Q35)</f>
        <v>1</v>
      </c>
      <c r="R36" s="74">
        <f>SUM(R31:R35)</f>
        <v>0</v>
      </c>
      <c r="T36" s="77">
        <f>SUM(T31:T35)</f>
        <v>1</v>
      </c>
      <c r="U36" s="74">
        <f>SUM(U31:U35)</f>
        <v>0</v>
      </c>
      <c r="W36" s="77">
        <f>SUM(W31:W35)</f>
        <v>0</v>
      </c>
      <c r="X36" s="74">
        <f>SUM(X31:X35)</f>
        <v>0</v>
      </c>
      <c r="Z36" s="77">
        <f>SUM(Z31:Z35)</f>
        <v>0</v>
      </c>
      <c r="AA36" s="74">
        <f>SUM(AA31:AA35)</f>
        <v>0</v>
      </c>
      <c r="AC36" s="77">
        <f>SUM(AC31:AC35)</f>
        <v>0</v>
      </c>
      <c r="AD36" s="74">
        <f>SUM(AD31:AD35)</f>
        <v>0</v>
      </c>
      <c r="AF36" s="77">
        <f>SUM(AF31:AF35)</f>
        <v>0</v>
      </c>
    </row>
    <row r="37" spans="1:34" s="74" customFormat="1" ht="25.5" hidden="1" customHeight="1" x14ac:dyDescent="0.25">
      <c r="A37" s="78" t="s">
        <v>59</v>
      </c>
      <c r="B37" s="74">
        <f>IF(B36&gt;D36,IF(C71=AL7,1,IF(C71=AL7-1,1,0)),0)</f>
        <v>1</v>
      </c>
      <c r="C37" s="74">
        <f>B37+D37</f>
        <v>1</v>
      </c>
      <c r="D37" s="77">
        <f>IF(D36&gt;B36,IF(C71=AL7,1,IF(C71=AL7-1,1,0)),0)</f>
        <v>0</v>
      </c>
      <c r="E37" s="74">
        <f>IF(E36&gt;G36,IF(F71=AL7,1,IF(F71=AL7-1,1,0)),0)</f>
        <v>0</v>
      </c>
      <c r="F37" s="74">
        <f>E37+G37</f>
        <v>1</v>
      </c>
      <c r="G37" s="77">
        <f>IF(G36&gt;E36,IF(F71=AL7,1,IF(F71=AL7-1,1,0)),0)</f>
        <v>1</v>
      </c>
      <c r="H37" s="74">
        <f>IF(H36&gt;J36,IF(I71=AL7,1,IF(I71=AL7-1,1,0)),0)</f>
        <v>1</v>
      </c>
      <c r="I37" s="74">
        <f>H37+J37</f>
        <v>1</v>
      </c>
      <c r="J37" s="77">
        <f>IF(J36&gt;H36,IF(I71=AL7,1,IF(I71=AL7-1,1,0)),0)</f>
        <v>0</v>
      </c>
      <c r="K37" s="77"/>
      <c r="L37" s="74">
        <f>IF(L36&gt;N36,IF(M71=AL7,1,IF(M71=AL7-1,1,0)),0)</f>
        <v>0</v>
      </c>
      <c r="M37" s="74">
        <f>L37+N37</f>
        <v>1</v>
      </c>
      <c r="N37" s="77">
        <f>IF(N36&gt;L36,IF(M71=AL7,1,IF(M71=AL7-1,1,0)),0)</f>
        <v>1</v>
      </c>
      <c r="O37" s="74">
        <f>IF(O36&gt;Q36,IF(P71=AL7,1,IF(P71=AL7-1,1,0)),0)</f>
        <v>0</v>
      </c>
      <c r="P37" s="74">
        <f>O37+Q37</f>
        <v>1</v>
      </c>
      <c r="Q37" s="77">
        <f>IF(Q36&gt;O36,IF(P71=AL7,1,IF(P71=AL7-1,1,0)),0)</f>
        <v>1</v>
      </c>
      <c r="R37" s="74">
        <f>IF(R36&gt;T36,IF(S71=AL7,1,IF(S71=AL7-1,1,0)),0)</f>
        <v>0</v>
      </c>
      <c r="S37" s="74">
        <f>R37+T37</f>
        <v>1</v>
      </c>
      <c r="T37" s="77">
        <f>IF(T36&gt;R36,IF(S71=AL7,1,IF(S71=AL7-1,1,0)),0)</f>
        <v>1</v>
      </c>
      <c r="U37" s="74">
        <f>IF(U36&gt;W36,IF(V71=AL7,1,IF(V71=AL7-1,1,0)),0)</f>
        <v>0</v>
      </c>
      <c r="V37" s="74">
        <f>U37+W37</f>
        <v>0</v>
      </c>
      <c r="W37" s="77">
        <f>IF(W36&gt;U36,IF(V71=AL7,1,IF(V71=AL7-1,1,0)),0)</f>
        <v>0</v>
      </c>
      <c r="X37" s="74">
        <f>IF(X36&gt;Z36,IF(Y71=AL7,1,IF(Y71=AL7-1,1,0)),0)</f>
        <v>0</v>
      </c>
      <c r="Y37" s="74">
        <f>X37+Z37</f>
        <v>0</v>
      </c>
      <c r="Z37" s="77">
        <f>IF(Z36&gt;X36,IF(Y71=AL7,1,IF(Y71=AL7-1,1,0)),0)</f>
        <v>0</v>
      </c>
      <c r="AA37" s="74">
        <f>IF(AA36&gt;AC36,IF(AB71=AL7,1,IF(AB71=AL7-1,1,0)),0)</f>
        <v>0</v>
      </c>
      <c r="AB37" s="74">
        <f>AA37+AC37</f>
        <v>0</v>
      </c>
      <c r="AC37" s="77">
        <f>IF(AC36&gt;AA36,IF(AB71=AL7,1,IF(AB71=AL7-1,1,0)),0)</f>
        <v>0</v>
      </c>
      <c r="AD37" s="74">
        <f>IF(AD36&gt;AF36,IF(AE71=AL7,1,IF(AE71=AL7-1,1,0)),0)</f>
        <v>0</v>
      </c>
      <c r="AE37" s="74">
        <f>AD37+AF37</f>
        <v>0</v>
      </c>
      <c r="AF37" s="77">
        <f>IF(AF36&gt;AD36,IF(AE71=AL7,1,IF(AE71=AL7-1,1,0)),0)</f>
        <v>0</v>
      </c>
    </row>
    <row r="38" spans="1:34" s="74" customFormat="1" ht="25.5" hidden="1" customHeight="1" x14ac:dyDescent="0.25">
      <c r="A38" s="78"/>
      <c r="D38" s="77"/>
      <c r="G38" s="77"/>
      <c r="J38" s="77"/>
      <c r="K38" s="77"/>
      <c r="N38" s="77"/>
      <c r="Q38" s="77"/>
      <c r="T38" s="77"/>
      <c r="W38" s="77"/>
      <c r="Z38" s="77"/>
      <c r="AC38" s="77"/>
      <c r="AF38" s="77"/>
    </row>
    <row r="39" spans="1:34" s="74" customFormat="1" ht="12.75" hidden="1" customHeight="1" x14ac:dyDescent="0.25">
      <c r="A39" s="74" t="s">
        <v>60</v>
      </c>
      <c r="B39" s="74">
        <f>IF(B31=1,B25,0)</f>
        <v>28</v>
      </c>
      <c r="D39" s="77">
        <f t="shared" ref="D39:E43" si="2">IF(D31=1,D25,0)</f>
        <v>0</v>
      </c>
      <c r="E39" s="74">
        <f t="shared" si="2"/>
        <v>0</v>
      </c>
      <c r="G39" s="77">
        <f t="shared" ref="G39:H43" si="3">IF(G31=1,G25,0)</f>
        <v>30</v>
      </c>
      <c r="H39" s="74">
        <f t="shared" si="3"/>
        <v>27</v>
      </c>
      <c r="J39" s="77">
        <f>IF(J31=1,J25,0)</f>
        <v>0</v>
      </c>
      <c r="K39" s="77"/>
      <c r="L39" s="74">
        <f>IF(L31=1,L25,0)</f>
        <v>0</v>
      </c>
      <c r="N39" s="77">
        <f t="shared" ref="N39:O43" si="4">IF(N31=1,N25,0)</f>
        <v>25</v>
      </c>
      <c r="O39" s="74">
        <f t="shared" si="4"/>
        <v>0</v>
      </c>
      <c r="Q39" s="77">
        <f t="shared" ref="Q39:R43" si="5">IF(Q31=1,Q25,0)</f>
        <v>34</v>
      </c>
      <c r="R39" s="74">
        <f t="shared" si="5"/>
        <v>0</v>
      </c>
      <c r="T39" s="77">
        <f t="shared" ref="T39:U43" si="6">IF(T31=1,T25,0)</f>
        <v>33</v>
      </c>
      <c r="U39" s="74">
        <f t="shared" si="6"/>
        <v>0</v>
      </c>
      <c r="W39" s="77">
        <f t="shared" ref="W39:X43" si="7">IF(W31=1,W25,0)</f>
        <v>0</v>
      </c>
      <c r="X39" s="74">
        <f t="shared" si="7"/>
        <v>0</v>
      </c>
      <c r="Z39" s="77">
        <f t="shared" ref="Z39:AA43" si="8">IF(Z31=1,Z25,0)</f>
        <v>0</v>
      </c>
      <c r="AA39" s="74">
        <f t="shared" si="8"/>
        <v>0</v>
      </c>
      <c r="AC39" s="77">
        <f t="shared" ref="AC39:AD43" si="9">IF(AC31=1,AC25,0)</f>
        <v>0</v>
      </c>
      <c r="AD39" s="74">
        <f t="shared" si="9"/>
        <v>0</v>
      </c>
      <c r="AF39" s="77">
        <f>IF(AF31=1,AF25,0)</f>
        <v>0</v>
      </c>
    </row>
    <row r="40" spans="1:34" s="74" customFormat="1" ht="12.75" hidden="1" customHeight="1" x14ac:dyDescent="0.25">
      <c r="A40" s="74" t="s">
        <v>61</v>
      </c>
      <c r="B40" s="74">
        <f>IF(B32=1,B26,0)</f>
        <v>0</v>
      </c>
      <c r="D40" s="77">
        <f t="shared" si="2"/>
        <v>0</v>
      </c>
      <c r="E40" s="74">
        <f t="shared" si="2"/>
        <v>0</v>
      </c>
      <c r="G40" s="77">
        <f t="shared" si="3"/>
        <v>0</v>
      </c>
      <c r="H40" s="74">
        <f t="shared" si="3"/>
        <v>0</v>
      </c>
      <c r="J40" s="77">
        <f>IF(J32=1,J26,0)</f>
        <v>0</v>
      </c>
      <c r="K40" s="77"/>
      <c r="L40" s="74">
        <f>IF(L32=1,L26,0)</f>
        <v>0</v>
      </c>
      <c r="N40" s="77">
        <f t="shared" si="4"/>
        <v>0</v>
      </c>
      <c r="O40" s="74">
        <f t="shared" si="4"/>
        <v>0</v>
      </c>
      <c r="Q40" s="77">
        <f t="shared" si="5"/>
        <v>0</v>
      </c>
      <c r="R40" s="74">
        <f t="shared" si="5"/>
        <v>0</v>
      </c>
      <c r="T40" s="77">
        <f t="shared" si="6"/>
        <v>0</v>
      </c>
      <c r="U40" s="74">
        <f t="shared" si="6"/>
        <v>0</v>
      </c>
      <c r="W40" s="77">
        <f t="shared" si="7"/>
        <v>0</v>
      </c>
      <c r="X40" s="74">
        <f t="shared" si="7"/>
        <v>0</v>
      </c>
      <c r="Z40" s="77">
        <f t="shared" si="8"/>
        <v>0</v>
      </c>
      <c r="AA40" s="74">
        <f t="shared" si="8"/>
        <v>0</v>
      </c>
      <c r="AC40" s="77">
        <f t="shared" si="9"/>
        <v>0</v>
      </c>
      <c r="AD40" s="74">
        <f t="shared" si="9"/>
        <v>0</v>
      </c>
      <c r="AF40" s="77">
        <f>IF(AF32=1,AF26,0)</f>
        <v>0</v>
      </c>
    </row>
    <row r="41" spans="1:34" s="74" customFormat="1" ht="12.75" hidden="1" customHeight="1" x14ac:dyDescent="0.25">
      <c r="A41" s="74" t="s">
        <v>62</v>
      </c>
      <c r="B41" s="74">
        <f>IF(B33=1,B27,0)</f>
        <v>0</v>
      </c>
      <c r="D41" s="77">
        <f t="shared" si="2"/>
        <v>0</v>
      </c>
      <c r="E41" s="74">
        <f t="shared" si="2"/>
        <v>0</v>
      </c>
      <c r="G41" s="77">
        <f t="shared" si="3"/>
        <v>0</v>
      </c>
      <c r="H41" s="74">
        <f t="shared" si="3"/>
        <v>0</v>
      </c>
      <c r="J41" s="77">
        <f>IF(J33=1,J27,0)</f>
        <v>0</v>
      </c>
      <c r="K41" s="77"/>
      <c r="L41" s="74">
        <f>IF(L33=1,L27,0)</f>
        <v>0</v>
      </c>
      <c r="N41" s="77">
        <f t="shared" si="4"/>
        <v>0</v>
      </c>
      <c r="O41" s="74">
        <f t="shared" si="4"/>
        <v>0</v>
      </c>
      <c r="Q41" s="77">
        <f t="shared" si="5"/>
        <v>0</v>
      </c>
      <c r="R41" s="74">
        <f t="shared" si="5"/>
        <v>0</v>
      </c>
      <c r="T41" s="77">
        <f t="shared" si="6"/>
        <v>0</v>
      </c>
      <c r="U41" s="74">
        <f t="shared" si="6"/>
        <v>0</v>
      </c>
      <c r="W41" s="77">
        <f t="shared" si="7"/>
        <v>0</v>
      </c>
      <c r="X41" s="74">
        <f t="shared" si="7"/>
        <v>0</v>
      </c>
      <c r="Z41" s="77">
        <f t="shared" si="8"/>
        <v>0</v>
      </c>
      <c r="AA41" s="74">
        <f t="shared" si="8"/>
        <v>0</v>
      </c>
      <c r="AC41" s="77">
        <f t="shared" si="9"/>
        <v>0</v>
      </c>
      <c r="AD41" s="74">
        <f t="shared" si="9"/>
        <v>0</v>
      </c>
      <c r="AF41" s="77">
        <f>IF(AF33=1,AF27,0)</f>
        <v>0</v>
      </c>
    </row>
    <row r="42" spans="1:34" s="74" customFormat="1" ht="12.75" hidden="1" customHeight="1" x14ac:dyDescent="0.25">
      <c r="A42" s="74" t="s">
        <v>63</v>
      </c>
      <c r="B42" s="74">
        <f>IF(B34=1,B28,0)</f>
        <v>0</v>
      </c>
      <c r="D42" s="77">
        <f t="shared" si="2"/>
        <v>0</v>
      </c>
      <c r="E42" s="74">
        <f t="shared" si="2"/>
        <v>0</v>
      </c>
      <c r="G42" s="77">
        <f t="shared" si="3"/>
        <v>0</v>
      </c>
      <c r="H42" s="74">
        <f t="shared" si="3"/>
        <v>0</v>
      </c>
      <c r="J42" s="77">
        <f>IF(J34=1,J28,0)</f>
        <v>0</v>
      </c>
      <c r="K42" s="77"/>
      <c r="L42" s="74">
        <f>IF(L34=1,L28,0)</f>
        <v>0</v>
      </c>
      <c r="N42" s="77">
        <f t="shared" si="4"/>
        <v>0</v>
      </c>
      <c r="O42" s="74">
        <f t="shared" si="4"/>
        <v>0</v>
      </c>
      <c r="Q42" s="77">
        <f t="shared" si="5"/>
        <v>0</v>
      </c>
      <c r="R42" s="74">
        <f t="shared" si="5"/>
        <v>0</v>
      </c>
      <c r="T42" s="77">
        <f t="shared" si="6"/>
        <v>0</v>
      </c>
      <c r="U42" s="74">
        <f t="shared" si="6"/>
        <v>0</v>
      </c>
      <c r="W42" s="77">
        <f t="shared" si="7"/>
        <v>0</v>
      </c>
      <c r="X42" s="74">
        <f t="shared" si="7"/>
        <v>0</v>
      </c>
      <c r="Z42" s="77">
        <f t="shared" si="8"/>
        <v>0</v>
      </c>
      <c r="AA42" s="74">
        <f t="shared" si="8"/>
        <v>0</v>
      </c>
      <c r="AC42" s="77">
        <f t="shared" si="9"/>
        <v>0</v>
      </c>
      <c r="AD42" s="74">
        <f t="shared" si="9"/>
        <v>0</v>
      </c>
      <c r="AF42" s="77">
        <f>IF(AF34=1,AF28,0)</f>
        <v>0</v>
      </c>
    </row>
    <row r="43" spans="1:34" s="74" customFormat="1" ht="12.75" hidden="1" customHeight="1" x14ac:dyDescent="0.25">
      <c r="A43" s="74" t="s">
        <v>64</v>
      </c>
      <c r="B43" s="74">
        <f>IF(B35=1,B29,0)</f>
        <v>0</v>
      </c>
      <c r="D43" s="77">
        <f t="shared" si="2"/>
        <v>0</v>
      </c>
      <c r="E43" s="74">
        <f t="shared" si="2"/>
        <v>0</v>
      </c>
      <c r="G43" s="77">
        <f t="shared" si="3"/>
        <v>0</v>
      </c>
      <c r="H43" s="74">
        <f t="shared" si="3"/>
        <v>0</v>
      </c>
      <c r="J43" s="77">
        <f>IF(J35=1,J29,0)</f>
        <v>0</v>
      </c>
      <c r="K43" s="77"/>
      <c r="L43" s="74">
        <f>IF(L35=1,L29,0)</f>
        <v>0</v>
      </c>
      <c r="N43" s="77">
        <f t="shared" si="4"/>
        <v>0</v>
      </c>
      <c r="O43" s="74">
        <f t="shared" si="4"/>
        <v>0</v>
      </c>
      <c r="Q43" s="77">
        <f t="shared" si="5"/>
        <v>0</v>
      </c>
      <c r="R43" s="74">
        <f t="shared" si="5"/>
        <v>0</v>
      </c>
      <c r="T43" s="77">
        <f t="shared" si="6"/>
        <v>0</v>
      </c>
      <c r="U43" s="74">
        <f t="shared" si="6"/>
        <v>0</v>
      </c>
      <c r="W43" s="77">
        <f t="shared" si="7"/>
        <v>0</v>
      </c>
      <c r="X43" s="74">
        <f t="shared" si="7"/>
        <v>0</v>
      </c>
      <c r="Z43" s="77">
        <f t="shared" si="8"/>
        <v>0</v>
      </c>
      <c r="AA43" s="74">
        <f t="shared" si="8"/>
        <v>0</v>
      </c>
      <c r="AC43" s="77">
        <f t="shared" si="9"/>
        <v>0</v>
      </c>
      <c r="AD43" s="74">
        <f t="shared" si="9"/>
        <v>0</v>
      </c>
      <c r="AF43" s="77">
        <f>IF(AF35=1,AF29,0)</f>
        <v>0</v>
      </c>
    </row>
    <row r="44" spans="1:34" s="74" customFormat="1" ht="38.25" hidden="1" customHeight="1" x14ac:dyDescent="0.25">
      <c r="A44" s="78" t="s">
        <v>65</v>
      </c>
      <c r="B44" s="74">
        <f>SUM(B39:D43)</f>
        <v>28</v>
      </c>
      <c r="D44" s="77"/>
      <c r="E44" s="74">
        <f>SUM(E39:G43)</f>
        <v>30</v>
      </c>
      <c r="G44" s="77"/>
      <c r="H44" s="74">
        <f>SUM(H39:J43)</f>
        <v>27</v>
      </c>
      <c r="J44" s="77"/>
      <c r="K44" s="77"/>
      <c r="L44" s="74">
        <f>SUM(L39:N43)</f>
        <v>25</v>
      </c>
      <c r="N44" s="77"/>
      <c r="O44" s="74">
        <f>SUM(O39:Q43)</f>
        <v>34</v>
      </c>
      <c r="Q44" s="77"/>
      <c r="R44" s="74">
        <f>SUM(R39:T43)</f>
        <v>33</v>
      </c>
      <c r="T44" s="77"/>
      <c r="U44" s="74">
        <f>SUM(U39:W43)</f>
        <v>0</v>
      </c>
      <c r="W44" s="77"/>
      <c r="X44" s="74">
        <f>SUM(X39:Z43)</f>
        <v>0</v>
      </c>
      <c r="Z44" s="77"/>
      <c r="AA44" s="74">
        <f>SUM(AA39:AC43)</f>
        <v>0</v>
      </c>
      <c r="AC44" s="77"/>
      <c r="AD44" s="74">
        <f>SUM(AD39:AF43)</f>
        <v>0</v>
      </c>
      <c r="AF44" s="77"/>
    </row>
    <row r="45" spans="1:34" s="74" customFormat="1" ht="38.25" hidden="1" customHeight="1" x14ac:dyDescent="0.25">
      <c r="A45" s="74" t="s">
        <v>66</v>
      </c>
      <c r="D45" s="77"/>
      <c r="G45" s="77"/>
      <c r="J45" s="77"/>
      <c r="K45" s="77"/>
      <c r="N45" s="77"/>
      <c r="Q45" s="77"/>
      <c r="T45" s="77"/>
      <c r="W45" s="77"/>
      <c r="Z45" s="77"/>
      <c r="AC45" s="77"/>
      <c r="AF45" s="77"/>
      <c r="AG45" s="78" t="s">
        <v>67</v>
      </c>
      <c r="AH45" s="74" t="s">
        <v>68</v>
      </c>
    </row>
    <row r="46" spans="1:34" s="74" customFormat="1" ht="12.75" hidden="1" customHeight="1" x14ac:dyDescent="0.25">
      <c r="A46" s="74" t="s">
        <v>69</v>
      </c>
      <c r="B46" s="74">
        <f>IF(B24=1,IF(B37=1,1,0),0)</f>
        <v>0</v>
      </c>
      <c r="D46" s="77">
        <f>IF(D24=1,IF(D37=1,1,0),0)</f>
        <v>0</v>
      </c>
      <c r="E46" s="74">
        <f>IF(E24=1,IF(E37=1,1,0),0)</f>
        <v>0</v>
      </c>
      <c r="G46" s="77">
        <f>IF(G24=1,IF(G37=1,1,0),0)</f>
        <v>0</v>
      </c>
      <c r="H46" s="74">
        <f>IF(H24=1,IF(H37=1,1,0),0)</f>
        <v>0</v>
      </c>
      <c r="J46" s="77">
        <f>IF(J24=1,IF(J37=1,1,0),0)</f>
        <v>0</v>
      </c>
      <c r="K46" s="77"/>
      <c r="L46" s="74">
        <f>IF(L24=1,IF(L37=1,1,0),0)</f>
        <v>0</v>
      </c>
      <c r="N46" s="77">
        <f>IF(N24=1,IF(N37=1,1,0),0)</f>
        <v>0</v>
      </c>
      <c r="O46" s="74">
        <f>IF(O24=1,IF(O37=1,1,0),0)</f>
        <v>0</v>
      </c>
      <c r="Q46" s="77">
        <f>IF(Q24=1,IF(Q37=1,1,0),0)</f>
        <v>0</v>
      </c>
      <c r="R46" s="74">
        <f>IF(R24=1,IF(R37=1,1,0),0)</f>
        <v>0</v>
      </c>
      <c r="T46" s="77">
        <f>IF(T24=1,IF(T37=1,1,0),0)</f>
        <v>0</v>
      </c>
      <c r="U46" s="74">
        <f>IF(U24=1,IF(U37=1,1,0),0)</f>
        <v>0</v>
      </c>
      <c r="W46" s="77">
        <f>IF(W24=1,IF(W37=1,1,0),0)</f>
        <v>0</v>
      </c>
      <c r="X46" s="74">
        <f>IF(X24=1,IF(X37=1,1,0),0)</f>
        <v>0</v>
      </c>
      <c r="Z46" s="77">
        <f>IF(Z24=1,IF(Z37=1,1,0),0)</f>
        <v>0</v>
      </c>
      <c r="AA46" s="74">
        <f>IF(AA24=1,IF(AA37=1,1,0),0)</f>
        <v>0</v>
      </c>
      <c r="AC46" s="77">
        <f>IF(AC24=1,IF(AC37=1,1,0),0)</f>
        <v>0</v>
      </c>
      <c r="AD46" s="74">
        <f>IF(AD24=1,IF(AD37=1,1,0),0)</f>
        <v>0</v>
      </c>
      <c r="AF46" s="77">
        <f>IF(AF24=1,IF(AF37=1,1,0),0)</f>
        <v>0</v>
      </c>
      <c r="AG46" s="74">
        <f>SUM(B46:AF46)</f>
        <v>0</v>
      </c>
      <c r="AH46" s="74">
        <f>AG52-AG46</f>
        <v>3</v>
      </c>
    </row>
    <row r="47" spans="1:34" s="74" customFormat="1" ht="12.75" hidden="1" customHeight="1" x14ac:dyDescent="0.25">
      <c r="A47" s="74" t="s">
        <v>70</v>
      </c>
      <c r="B47" s="74">
        <f>IF(B24=2,IF(B37=1,1,0),0)</f>
        <v>1</v>
      </c>
      <c r="D47" s="77">
        <f>IF(D24=2,IF(D37=1,1,0),0)</f>
        <v>0</v>
      </c>
      <c r="E47" s="74">
        <f>IF(E24=2,IF(E37=1,1,0),0)</f>
        <v>0</v>
      </c>
      <c r="G47" s="77">
        <f>IF(G24=2,IF(G37=1,1,0),0)</f>
        <v>0</v>
      </c>
      <c r="H47" s="74">
        <f>IF(H24=2,IF(H37=1,1,0),0)</f>
        <v>1</v>
      </c>
      <c r="J47" s="77">
        <f>IF(J24=2,IF(J37=1,1,0),0)</f>
        <v>0</v>
      </c>
      <c r="K47" s="77"/>
      <c r="L47" s="74">
        <f>IF(L24=2,IF(L37=1,1,0),0)</f>
        <v>0</v>
      </c>
      <c r="N47" s="77">
        <f>IF(N24=2,IF(N37=1,1,0),0)</f>
        <v>0</v>
      </c>
      <c r="O47" s="74">
        <f>IF(O24=2,IF(O37=1,1,0),0)</f>
        <v>0</v>
      </c>
      <c r="Q47" s="77">
        <f>IF(Q24=2,IF(Q37=1,1,0),0)</f>
        <v>0</v>
      </c>
      <c r="R47" s="74">
        <f>IF(R24=2,IF(R37=1,1,0),0)</f>
        <v>0</v>
      </c>
      <c r="T47" s="77">
        <f>IF(T24=2,IF(T37=1,1,0),0)</f>
        <v>1</v>
      </c>
      <c r="U47" s="74">
        <f>IF(U24=2,IF(U37=1,1,0),0)</f>
        <v>0</v>
      </c>
      <c r="W47" s="77">
        <f>IF(W24=2,IF(W37=1,1,0),0)</f>
        <v>0</v>
      </c>
      <c r="X47" s="74">
        <f>IF(X24=2,IF(X37=1,1,0),0)</f>
        <v>0</v>
      </c>
      <c r="Z47" s="77">
        <f>IF(Z24=2,IF(Z37=1,1,0),0)</f>
        <v>0</v>
      </c>
      <c r="AA47" s="74">
        <f>IF(AA24=2,IF(AA37=1,1,0),0)</f>
        <v>0</v>
      </c>
      <c r="AC47" s="77">
        <f>IF(AC24=2,IF(AC37=1,1,0),0)</f>
        <v>0</v>
      </c>
      <c r="AD47" s="74">
        <f>IF(AD24=2,IF(AD37=1,1,0),0)</f>
        <v>0</v>
      </c>
      <c r="AF47" s="77">
        <f>IF(AF24=2,IF(AF37=1,1,0),0)</f>
        <v>0</v>
      </c>
      <c r="AG47" s="74">
        <f>SUM(B47:AF47)</f>
        <v>3</v>
      </c>
      <c r="AH47" s="74">
        <f>AG53-AG47</f>
        <v>0</v>
      </c>
    </row>
    <row r="48" spans="1:34" s="74" customFormat="1" ht="12.75" hidden="1" customHeight="1" x14ac:dyDescent="0.25">
      <c r="A48" s="74" t="s">
        <v>71</v>
      </c>
      <c r="B48" s="74">
        <f>IF(B24=3,IF(B37=1,1,0),0)</f>
        <v>0</v>
      </c>
      <c r="D48" s="77">
        <f>IF(D24=3,IF(D37=1,1,0),0)</f>
        <v>0</v>
      </c>
      <c r="E48" s="74">
        <f>IF(E24=3,IF(E37=1,1,0),0)</f>
        <v>0</v>
      </c>
      <c r="G48" s="77">
        <f>IF(G24=3,IF(G37=1,1,0),0)</f>
        <v>0</v>
      </c>
      <c r="H48" s="74">
        <f>IF(H24=3,IF(H37=1,1,0),0)</f>
        <v>0</v>
      </c>
      <c r="J48" s="77">
        <f>IF(J24=3,IF(J37=1,1,0),0)</f>
        <v>0</v>
      </c>
      <c r="K48" s="77"/>
      <c r="L48" s="74">
        <f>IF(L24=3,IF(L37=1,1,0),0)</f>
        <v>0</v>
      </c>
      <c r="N48" s="77">
        <f>IF(N24=3,IF(N37=1,1,0),0)</f>
        <v>1</v>
      </c>
      <c r="O48" s="74">
        <f>IF(O24=3,IF(O37=1,1,0),0)</f>
        <v>0</v>
      </c>
      <c r="Q48" s="77">
        <f>IF(Q24=3,IF(Q37=1,1,0),0)</f>
        <v>0</v>
      </c>
      <c r="R48" s="74">
        <f>IF(R24=3,IF(R37=1,1,0),0)</f>
        <v>0</v>
      </c>
      <c r="T48" s="77">
        <f>IF(T24=3,IF(T37=1,1,0),0)</f>
        <v>0</v>
      </c>
      <c r="U48" s="74">
        <f>IF(U24=3,IF(U37=1,1,0),0)</f>
        <v>0</v>
      </c>
      <c r="W48" s="77">
        <f>IF(W24=3,IF(W37=1,1,0),0)</f>
        <v>0</v>
      </c>
      <c r="X48" s="74">
        <f>IF(X24=3,IF(X37=1,1,0),0)</f>
        <v>0</v>
      </c>
      <c r="Z48" s="77">
        <f>IF(Z24=3,IF(Z37=1,1,0),0)</f>
        <v>0</v>
      </c>
      <c r="AA48" s="74">
        <f>IF(AA24=3,IF(AA37=1,1,0),0)</f>
        <v>0</v>
      </c>
      <c r="AC48" s="77">
        <f>IF(AC24=3,IF(AC37=1,1,0),0)</f>
        <v>0</v>
      </c>
      <c r="AD48" s="74">
        <f>IF(AD24=3,IF(AD37=1,1,0),0)</f>
        <v>0</v>
      </c>
      <c r="AF48" s="77">
        <f>IF(AF24=3,IF(AF37=1,1,0),0)</f>
        <v>0</v>
      </c>
      <c r="AG48" s="74">
        <f>SUM(B48:AF48)</f>
        <v>1</v>
      </c>
      <c r="AH48" s="74">
        <f>AG54-AG48</f>
        <v>2</v>
      </c>
    </row>
    <row r="49" spans="1:38" s="74" customFormat="1" ht="12.75" hidden="1" customHeight="1" x14ac:dyDescent="0.25">
      <c r="A49" s="74" t="s">
        <v>72</v>
      </c>
      <c r="B49" s="74">
        <f>IF(B24=4,IF(B37=1,1,0),0)</f>
        <v>0</v>
      </c>
      <c r="D49" s="77">
        <f>IF(D24=4,IF(D37=1,1,0),0)</f>
        <v>0</v>
      </c>
      <c r="E49" s="74">
        <f>IF(E24=4,IF(E37=1,1,0),0)</f>
        <v>0</v>
      </c>
      <c r="G49" s="77">
        <f>IF(G24=4,IF(G37=1,1,0),0)</f>
        <v>1</v>
      </c>
      <c r="H49" s="74">
        <f>IF(H24=4,IF(H37=1,1,0),0)</f>
        <v>0</v>
      </c>
      <c r="J49" s="77">
        <f>IF(J24=4,IF(J37=1,1,0),0)</f>
        <v>0</v>
      </c>
      <c r="K49" s="77"/>
      <c r="L49" s="74">
        <f>IF(L24=4,IF(L37=1,1,0),0)</f>
        <v>0</v>
      </c>
      <c r="N49" s="77">
        <f>IF(N24=4,IF(N37=1,1,0),0)</f>
        <v>0</v>
      </c>
      <c r="O49" s="74">
        <f>IF(O24=4,IF(O37=1,1,0),0)</f>
        <v>0</v>
      </c>
      <c r="Q49" s="77">
        <f>IF(Q24=4,IF(Q37=1,1,0),0)</f>
        <v>1</v>
      </c>
      <c r="R49" s="74">
        <f>IF(R24=4,IF(R37=1,1,0),0)</f>
        <v>0</v>
      </c>
      <c r="T49" s="77">
        <f>IF(T24=4,IF(T37=1,1,0),0)</f>
        <v>0</v>
      </c>
      <c r="U49" s="74">
        <f>IF(U24=4,IF(U37=1,1,0),0)</f>
        <v>0</v>
      </c>
      <c r="W49" s="77">
        <f>IF(W24=4,IF(W37=1,1,0),0)</f>
        <v>0</v>
      </c>
      <c r="X49" s="74">
        <f>IF(X24=4,IF(X37=1,1,0),0)</f>
        <v>0</v>
      </c>
      <c r="Z49" s="77">
        <f>IF(Z24=4,IF(Z37=1,1,0),0)</f>
        <v>0</v>
      </c>
      <c r="AA49" s="74">
        <f>IF(AA24=4,IF(AA37=1,1,0),0)</f>
        <v>0</v>
      </c>
      <c r="AC49" s="77">
        <f>IF(AC24=4,IF(AC37=1,1,0),0)</f>
        <v>0</v>
      </c>
      <c r="AD49" s="74">
        <f>IF(AD24=4,IF(AD37=1,1,0),0)</f>
        <v>0</v>
      </c>
      <c r="AF49" s="77">
        <f>IF(AF24=4,IF(AF37=1,1,0),0)</f>
        <v>0</v>
      </c>
      <c r="AG49" s="74">
        <f>SUM(B49:AF49)</f>
        <v>2</v>
      </c>
      <c r="AH49" s="74">
        <f>AG55-AG49</f>
        <v>1</v>
      </c>
    </row>
    <row r="50" spans="1:38" s="74" customFormat="1" ht="12.75" hidden="1" customHeight="1" x14ac:dyDescent="0.25">
      <c r="A50" s="74" t="s">
        <v>73</v>
      </c>
      <c r="B50" s="74">
        <f>IF(B24=5,IF(B37=1,1,0),0)</f>
        <v>0</v>
      </c>
      <c r="D50" s="77">
        <f>IF(D24=5,IF(D37=1,1,0),0)</f>
        <v>0</v>
      </c>
      <c r="E50" s="74">
        <f>IF(E24=5,IF(E37=1,1,0),0)</f>
        <v>0</v>
      </c>
      <c r="G50" s="77">
        <f>IF(G24=5,IF(G37=1,1,0),0)</f>
        <v>0</v>
      </c>
      <c r="H50" s="74">
        <f>IF(H24=5,IF(H37=1,1,0),0)</f>
        <v>0</v>
      </c>
      <c r="J50" s="77">
        <f>IF(J24=5,IF(J37=1,1,0),0)</f>
        <v>0</v>
      </c>
      <c r="K50" s="77"/>
      <c r="L50" s="74">
        <f>IF(L24=5,IF(L37=1,1,0),0)</f>
        <v>0</v>
      </c>
      <c r="N50" s="77">
        <f>IF(N24=5,IF(N37=1,1,0),0)</f>
        <v>0</v>
      </c>
      <c r="O50" s="74">
        <f>IF(O24=5,IF(O37=1,1,0),0)</f>
        <v>0</v>
      </c>
      <c r="Q50" s="77">
        <f>IF(Q24=5,IF(Q37=1,1,0),0)</f>
        <v>0</v>
      </c>
      <c r="R50" s="74">
        <f>IF(R24=5,IF(R37=1,1,0),0)</f>
        <v>0</v>
      </c>
      <c r="T50" s="77">
        <f>IF(T24=5,IF(T37=1,1,0),0)</f>
        <v>0</v>
      </c>
      <c r="U50" s="74">
        <f>IF(U24=5,IF(U37=1,1,0),0)</f>
        <v>0</v>
      </c>
      <c r="W50" s="77">
        <f>IF(W24=5,IF(W37=1,1,0),0)</f>
        <v>0</v>
      </c>
      <c r="X50" s="74">
        <f>IF(X24=5,IF(X37=1,1,0),0)</f>
        <v>0</v>
      </c>
      <c r="Z50" s="77">
        <f>IF(Z24=5,IF(Z37=1,1,0),0)</f>
        <v>0</v>
      </c>
      <c r="AA50" s="74">
        <f>IF(AA24=5,IF(AA37=1,1,0),0)</f>
        <v>0</v>
      </c>
      <c r="AC50" s="77">
        <f>IF(AC24=5,IF(AC37=1,1,0),0)</f>
        <v>0</v>
      </c>
      <c r="AD50" s="74">
        <f>IF(AD24=5,IF(AD37=1,1,0),0)</f>
        <v>0</v>
      </c>
      <c r="AF50" s="77">
        <f>IF(AF24=5,IF(AF37=1,1,0),0)</f>
        <v>0</v>
      </c>
      <c r="AG50" s="74">
        <f>SUM(B50:AF50)</f>
        <v>0</v>
      </c>
      <c r="AH50" s="74">
        <f>AG56-AG50</f>
        <v>0</v>
      </c>
    </row>
    <row r="51" spans="1:38" s="74" customFormat="1" ht="38.25" hidden="1" customHeight="1" x14ac:dyDescent="0.25">
      <c r="A51" s="78"/>
      <c r="D51" s="77"/>
      <c r="G51" s="77"/>
      <c r="J51" s="77"/>
      <c r="K51" s="77"/>
      <c r="N51" s="77"/>
      <c r="Q51" s="77"/>
      <c r="T51" s="77"/>
      <c r="W51" s="77"/>
      <c r="Z51" s="77"/>
      <c r="AC51" s="77"/>
      <c r="AF51" s="77"/>
      <c r="AG51" s="78" t="s">
        <v>74</v>
      </c>
    </row>
    <row r="52" spans="1:38" s="74" customFormat="1" ht="12.75" hidden="1" customHeight="1" x14ac:dyDescent="0.25">
      <c r="A52" s="74" t="s">
        <v>75</v>
      </c>
      <c r="B52" s="74">
        <f>IF(B24=1,IF(C37=1,1,0),0)</f>
        <v>0</v>
      </c>
      <c r="D52" s="77">
        <f>IF(D24=1,IF(C37=1,1,0),0)</f>
        <v>0</v>
      </c>
      <c r="E52" s="74">
        <f>IF(E24=1,IF(F37=1,1,0),0)</f>
        <v>1</v>
      </c>
      <c r="G52" s="77">
        <f>IF(G24=1,IF(F37=1,1,0),0)</f>
        <v>0</v>
      </c>
      <c r="H52" s="74">
        <f>IF(H24=1,IF(I37=1,1,0),0)</f>
        <v>0</v>
      </c>
      <c r="J52" s="77">
        <f>IF(J24=1,IF(I37=1,1,0),0)</f>
        <v>0</v>
      </c>
      <c r="K52" s="77"/>
      <c r="L52" s="74">
        <f>IF(L24=1,IF(M37=1,1,0),0)</f>
        <v>1</v>
      </c>
      <c r="N52" s="77">
        <f>IF(N24=1,IF(M37=1,1,0),0)</f>
        <v>0</v>
      </c>
      <c r="O52" s="74">
        <f>IF(O24=1,IF(P37=1,1,0),0)</f>
        <v>0</v>
      </c>
      <c r="Q52" s="77">
        <f>IF(Q24=1,IF(P37=1,1,0),0)</f>
        <v>0</v>
      </c>
      <c r="R52" s="74">
        <f>IF(R24=1,IF(S37=1,1,0),0)</f>
        <v>1</v>
      </c>
      <c r="T52" s="77">
        <f>IF(T24=1,IF(S37=1,1,0),0)</f>
        <v>0</v>
      </c>
      <c r="U52" s="74">
        <f>IF(U24=1,IF(V37=1,1,0),0)</f>
        <v>0</v>
      </c>
      <c r="W52" s="77">
        <f>IF(W24=1,IF(V37=1,1,0),0)</f>
        <v>0</v>
      </c>
      <c r="X52" s="74">
        <f>IF(X24=1,IF(Y37=1,1,0),0)</f>
        <v>0</v>
      </c>
      <c r="Z52" s="77">
        <f>IF(Z24=1,IF(Y37=1,1,0),0)</f>
        <v>0</v>
      </c>
      <c r="AA52" s="74">
        <f>IF(AA24=1,IF(AB37=1,1,0),0)</f>
        <v>0</v>
      </c>
      <c r="AC52" s="77">
        <f>IF(AC24=1,IF(AB37=1,1,0),0)</f>
        <v>0</v>
      </c>
      <c r="AD52" s="74">
        <f>IF(AD24=1,IF(AE37=1,1,0),0)</f>
        <v>0</v>
      </c>
      <c r="AF52" s="77">
        <f>IF(AF24=1,IF(AE37=1,1,0),0)</f>
        <v>0</v>
      </c>
      <c r="AG52" s="74">
        <f>SUM(B52:AF52)</f>
        <v>3</v>
      </c>
    </row>
    <row r="53" spans="1:38" s="74" customFormat="1" ht="12.75" hidden="1" customHeight="1" x14ac:dyDescent="0.25">
      <c r="A53" s="74" t="s">
        <v>76</v>
      </c>
      <c r="B53" s="74">
        <f>IF(B24=2,IF(C37=1,1,0),0)</f>
        <v>1</v>
      </c>
      <c r="D53" s="77">
        <f>IF(D24=2,IF(C37=1,1,0),0)</f>
        <v>0</v>
      </c>
      <c r="E53" s="74">
        <f>IF(E24=2,IF(F37=1,1,0),0)</f>
        <v>0</v>
      </c>
      <c r="G53" s="77">
        <f>IF(G24=2,IF(F37=1,1,0),0)</f>
        <v>0</v>
      </c>
      <c r="H53" s="74">
        <f>IF(H24=2,IF(I37=1,1,0),0)</f>
        <v>1</v>
      </c>
      <c r="J53" s="77">
        <f>IF(J24=2,IF(I37=1,1,0),0)</f>
        <v>0</v>
      </c>
      <c r="K53" s="77"/>
      <c r="L53" s="74">
        <f>IF(L24=2,IF(M37=1,1,0),0)</f>
        <v>0</v>
      </c>
      <c r="N53" s="77">
        <f>IF(N24=2,IF(M37=1,1,0),0)</f>
        <v>0</v>
      </c>
      <c r="O53" s="74">
        <f>IF(O24=2,IF(P37=1,1,0),0)</f>
        <v>0</v>
      </c>
      <c r="Q53" s="77">
        <f>IF(Q24=2,IF(P37=1,1,0),0)</f>
        <v>0</v>
      </c>
      <c r="R53" s="74">
        <f>IF(R24=2,IF(S37=1,1,0),0)</f>
        <v>0</v>
      </c>
      <c r="T53" s="77">
        <f>IF(T24=2,IF(S37=1,1,0),0)</f>
        <v>1</v>
      </c>
      <c r="U53" s="74">
        <f>IF(U24=2,IF(V37=1,1,0),0)</f>
        <v>0</v>
      </c>
      <c r="W53" s="77">
        <f>IF(W24=2,IF(V37=1,1,0),0)</f>
        <v>0</v>
      </c>
      <c r="X53" s="74">
        <f>IF(X24=2,IF(Y37=1,1,0),0)</f>
        <v>0</v>
      </c>
      <c r="Z53" s="77">
        <f>IF(Z24=2,IF(Y37=1,1,0),0)</f>
        <v>0</v>
      </c>
      <c r="AA53" s="74">
        <f>IF(AA24=2,IF(AB37=1,1,0),0)</f>
        <v>0</v>
      </c>
      <c r="AC53" s="77">
        <f>IF(AC24=2,IF(AB37=1,1,0),0)</f>
        <v>0</v>
      </c>
      <c r="AD53" s="74">
        <f>IF(AD24=2,IF(AE37=1,1,0),0)</f>
        <v>0</v>
      </c>
      <c r="AF53" s="77">
        <f>IF(AF24=2,IF(AE37=1,1,0),0)</f>
        <v>0</v>
      </c>
      <c r="AG53" s="74">
        <f>SUM(B53:AF53)</f>
        <v>3</v>
      </c>
    </row>
    <row r="54" spans="1:38" s="74" customFormat="1" ht="12.75" hidden="1" customHeight="1" x14ac:dyDescent="0.25">
      <c r="A54" s="74" t="s">
        <v>77</v>
      </c>
      <c r="B54" s="74">
        <f>IF(B24=3,IF(C37=1,1,0),0)</f>
        <v>0</v>
      </c>
      <c r="D54" s="77">
        <f>IF(D24=3,IF(C37=1,1,0),0)</f>
        <v>1</v>
      </c>
      <c r="E54" s="74">
        <f>IF(E24=3,IF(F37=1,1,0),0)</f>
        <v>0</v>
      </c>
      <c r="G54" s="77">
        <f>IF(G24=3,IF(F37=1,1,0),0)</f>
        <v>0</v>
      </c>
      <c r="H54" s="74">
        <f>IF(H24=3,IF(I37=1,1,0),0)</f>
        <v>0</v>
      </c>
      <c r="J54" s="77">
        <f>IF(J24=3,IF(I37=1,1,0),0)</f>
        <v>0</v>
      </c>
      <c r="K54" s="77"/>
      <c r="L54" s="74">
        <f>IF(L24=3,IF(M37=1,1,0),0)</f>
        <v>0</v>
      </c>
      <c r="N54" s="77">
        <f>IF(N24=3,IF(M37=1,1,0),0)</f>
        <v>1</v>
      </c>
      <c r="O54" s="74">
        <f>IF(O24=3,IF(P37=1,1,0),0)</f>
        <v>1</v>
      </c>
      <c r="Q54" s="77">
        <f>IF(Q24=3,IF(P37=1,1,0),0)</f>
        <v>0</v>
      </c>
      <c r="R54" s="74">
        <f>IF(R24=3,IF(S37=1,1,0),0)</f>
        <v>0</v>
      </c>
      <c r="T54" s="77">
        <f>IF(T24=3,IF(S37=1,1,0),0)</f>
        <v>0</v>
      </c>
      <c r="U54" s="74">
        <f>IF(U24=3,IF(V37=1,1,0),0)</f>
        <v>0</v>
      </c>
      <c r="W54" s="77">
        <f>IF(W24=3,IF(V37=1,1,0),0)</f>
        <v>0</v>
      </c>
      <c r="X54" s="74">
        <f>IF(X24=3,IF(Y37=1,1,0),0)</f>
        <v>0</v>
      </c>
      <c r="Z54" s="77">
        <f>IF(Z24=3,IF(Y37=1,1,0),0)</f>
        <v>0</v>
      </c>
      <c r="AA54" s="74">
        <f>IF(AA24=3,IF(AB37=1,1,0),0)</f>
        <v>0</v>
      </c>
      <c r="AC54" s="77">
        <f>IF(AC24=3,IF(AB37=1,1,0),0)</f>
        <v>0</v>
      </c>
      <c r="AD54" s="74">
        <f>IF(AD24=3,IF(AE37=1,1,0),0)</f>
        <v>0</v>
      </c>
      <c r="AF54" s="77">
        <f>IF(AF24=3,IF(AE37=1,1,0),0)</f>
        <v>0</v>
      </c>
      <c r="AG54" s="74">
        <f>SUM(B54:AF54)</f>
        <v>3</v>
      </c>
    </row>
    <row r="55" spans="1:38" s="74" customFormat="1" ht="12.75" hidden="1" customHeight="1" x14ac:dyDescent="0.25">
      <c r="A55" s="74" t="s">
        <v>78</v>
      </c>
      <c r="B55" s="74">
        <f>IF(B24=4,IF(C37=1,1,0),0)</f>
        <v>0</v>
      </c>
      <c r="D55" s="77">
        <f>IF(D24=4,IF(C37=1,1,0),0)</f>
        <v>0</v>
      </c>
      <c r="E55" s="74">
        <f>IF(E24=4,IF(F37=1,1,0),0)</f>
        <v>0</v>
      </c>
      <c r="G55" s="77">
        <f>IF(G24=4,IF(F37=1,1,0),0)</f>
        <v>1</v>
      </c>
      <c r="H55" s="74">
        <f>IF(H24=4,IF(I37=1,1,0),0)</f>
        <v>0</v>
      </c>
      <c r="J55" s="77">
        <f>IF(J24=4,IF(I37=1,1,0),0)</f>
        <v>1</v>
      </c>
      <c r="K55" s="77"/>
      <c r="L55" s="74">
        <f>IF(L24=4,IF(M37=1,1,0),0)</f>
        <v>0</v>
      </c>
      <c r="N55" s="77">
        <f>IF(N24=4,IF(M37=1,1,0),0)</f>
        <v>0</v>
      </c>
      <c r="O55" s="74">
        <f>IF(O24=4,IF(P37=1,1,0),0)</f>
        <v>0</v>
      </c>
      <c r="Q55" s="77">
        <f>IF(Q24=4,IF(P37=1,1,0),0)</f>
        <v>1</v>
      </c>
      <c r="R55" s="74">
        <f>IF(R24=4,IF(S37=1,1,0),0)</f>
        <v>0</v>
      </c>
      <c r="T55" s="77">
        <f>IF(T24=4,IF(S37=1,1,0),0)</f>
        <v>0</v>
      </c>
      <c r="U55" s="74">
        <f>IF(U24=4,IF(V37=1,1,0),0)</f>
        <v>0</v>
      </c>
      <c r="W55" s="77">
        <f>IF(W24=4,IF(V37=1,1,0),0)</f>
        <v>0</v>
      </c>
      <c r="X55" s="74">
        <f>IF(X24=4,IF(Y37=1,1,0),0)</f>
        <v>0</v>
      </c>
      <c r="Z55" s="77">
        <f>IF(Z24=4,IF(Y37=1,1,0),0)</f>
        <v>0</v>
      </c>
      <c r="AA55" s="74">
        <f>IF(AA24=4,IF(AB37=1,1,0),0)</f>
        <v>0</v>
      </c>
      <c r="AC55" s="77">
        <f>IF(AC24=4,IF(AB37=1,1,0),0)</f>
        <v>0</v>
      </c>
      <c r="AD55" s="74">
        <f>IF(AD24=4,IF(AE37=1,1,0),0)</f>
        <v>0</v>
      </c>
      <c r="AF55" s="77">
        <f>IF(AF24=4,IF(AE37=1,1,0),0)</f>
        <v>0</v>
      </c>
      <c r="AG55" s="74">
        <f>SUM(B55:AF55)</f>
        <v>3</v>
      </c>
    </row>
    <row r="56" spans="1:38" s="74" customFormat="1" ht="12.75" hidden="1" customHeight="1" x14ac:dyDescent="0.25">
      <c r="A56" s="74" t="s">
        <v>79</v>
      </c>
      <c r="B56" s="74">
        <f>IF(B24=5,IF(C37=1,1,0),0)</f>
        <v>0</v>
      </c>
      <c r="D56" s="77">
        <f>IF(D24=5,IF(C37=1,1,0),0)</f>
        <v>0</v>
      </c>
      <c r="E56" s="74">
        <f>IF(E24=5,IF(F37=1,1,0),0)</f>
        <v>0</v>
      </c>
      <c r="G56" s="77">
        <f>IF(G24=5,IF(F37=1,1,0),0)</f>
        <v>0</v>
      </c>
      <c r="H56" s="74">
        <f>IF(H24=5,IF(I37=1,1,0),0)</f>
        <v>0</v>
      </c>
      <c r="J56" s="77">
        <f>IF(J24=5,IF(I37=1,1,0),0)</f>
        <v>0</v>
      </c>
      <c r="K56" s="77"/>
      <c r="L56" s="74">
        <f>IF(L24=5,IF(M37=1,1,0),0)</f>
        <v>0</v>
      </c>
      <c r="N56" s="77">
        <f>IF(N24=5,IF(M37=1,1,0),0)</f>
        <v>0</v>
      </c>
      <c r="O56" s="74">
        <f>IF(O24=5,IF(P37=1,1,0),0)</f>
        <v>0</v>
      </c>
      <c r="Q56" s="77">
        <f>IF(Q24=5,IF(P37=1,1,0),0)</f>
        <v>0</v>
      </c>
      <c r="R56" s="74">
        <f>IF(R24=5,IF(S37=1,1,0),0)</f>
        <v>0</v>
      </c>
      <c r="T56" s="77">
        <f>IF(T24=5,IF(S37=1,1,0),0)</f>
        <v>0</v>
      </c>
      <c r="U56" s="74">
        <f>IF(U24=5,IF(V37=1,1,0),0)</f>
        <v>0</v>
      </c>
      <c r="W56" s="77">
        <f>IF(W24=5,IF(V37=1,1,0),0)</f>
        <v>0</v>
      </c>
      <c r="X56" s="74">
        <f>IF(X24=5,IF(Y37=1,1,0),0)</f>
        <v>0</v>
      </c>
      <c r="Z56" s="77">
        <f>IF(Z24=5,IF(Y37=1,1,0),0)</f>
        <v>0</v>
      </c>
      <c r="AA56" s="74">
        <f>IF(AA24=5,IF(AB37=1,1,0),0)</f>
        <v>0</v>
      </c>
      <c r="AC56" s="77">
        <f>IF(AC24=5,IF(AB37=1,1,0),0)</f>
        <v>0</v>
      </c>
      <c r="AD56" s="74">
        <f>IF(AD24=5,IF(AE37=1,1,0),0)</f>
        <v>0</v>
      </c>
      <c r="AF56" s="77">
        <f>IF(AF24=5,IF(AE37=1,1,0),0)</f>
        <v>0</v>
      </c>
      <c r="AG56" s="74">
        <f>SUM(B56:AF56)</f>
        <v>0</v>
      </c>
    </row>
    <row r="57" spans="1:38" s="74" customFormat="1" ht="38.25" hidden="1" customHeight="1" x14ac:dyDescent="0.25">
      <c r="A57" s="78"/>
      <c r="D57" s="77"/>
      <c r="G57" s="77"/>
      <c r="J57" s="77"/>
      <c r="K57" s="77"/>
      <c r="N57" s="77"/>
      <c r="Q57" s="77"/>
      <c r="T57" s="77"/>
      <c r="W57" s="77"/>
      <c r="Z57" s="77"/>
      <c r="AC57" s="77"/>
      <c r="AF57" s="77"/>
      <c r="AG57" s="78" t="s">
        <v>80</v>
      </c>
      <c r="AH57" s="307"/>
      <c r="AI57" s="307"/>
      <c r="AJ57" s="307"/>
      <c r="AK57" s="307"/>
      <c r="AL57" s="307"/>
    </row>
    <row r="58" spans="1:38" s="74" customFormat="1" ht="12.75" hidden="1" customHeight="1" x14ac:dyDescent="0.25">
      <c r="A58" s="74" t="s">
        <v>75</v>
      </c>
      <c r="B58" s="74">
        <f>IF(B24=1,B44,0)</f>
        <v>0</v>
      </c>
      <c r="D58" s="77">
        <f>IF(D24=1,B44,0)</f>
        <v>0</v>
      </c>
      <c r="E58" s="74">
        <f>IF(E24=1,E44,0)</f>
        <v>30</v>
      </c>
      <c r="G58" s="77">
        <f>IF(G24=1,E44,0)</f>
        <v>0</v>
      </c>
      <c r="H58" s="74">
        <f>IF(H24=1,H44,0)</f>
        <v>0</v>
      </c>
      <c r="J58" s="77">
        <f>IF(J24=1,H44,0)</f>
        <v>0</v>
      </c>
      <c r="K58" s="77"/>
      <c r="L58" s="74">
        <f>IF(L24=1,L44,0)</f>
        <v>25</v>
      </c>
      <c r="N58" s="77">
        <f>IF(N24=1,L44,0)</f>
        <v>0</v>
      </c>
      <c r="O58" s="74">
        <f>IF(O24=1,O44,0)</f>
        <v>0</v>
      </c>
      <c r="Q58" s="77">
        <f>IF(Q24=1,O44,0)</f>
        <v>0</v>
      </c>
      <c r="R58" s="74">
        <f>IF(R24=1,R44,0)</f>
        <v>33</v>
      </c>
      <c r="T58" s="77">
        <f>IF(T24=1,R44,0)</f>
        <v>0</v>
      </c>
      <c r="U58" s="74">
        <f>IF(U24=1,U44,0)</f>
        <v>0</v>
      </c>
      <c r="W58" s="77">
        <f>IF(W24=1,U44,0)</f>
        <v>0</v>
      </c>
      <c r="X58" s="74">
        <f>IF(X24=1,X44,0)</f>
        <v>0</v>
      </c>
      <c r="Z58" s="77">
        <f>IF(Z24=1,X44,0)</f>
        <v>0</v>
      </c>
      <c r="AA58" s="74">
        <f>IF(AA24=1,AA44,0)</f>
        <v>0</v>
      </c>
      <c r="AC58" s="77">
        <f>IF(AC24=1,AA44,0)</f>
        <v>0</v>
      </c>
      <c r="AD58" s="74">
        <f>IF(AD24=1,AD44,0)</f>
        <v>0</v>
      </c>
      <c r="AF58" s="77">
        <f>IF(AF24=1,AD44,0)</f>
        <v>0</v>
      </c>
      <c r="AG58" s="74">
        <f>SUM(B58:AF58)</f>
        <v>88</v>
      </c>
    </row>
    <row r="59" spans="1:38" s="74" customFormat="1" ht="12.75" hidden="1" customHeight="1" x14ac:dyDescent="0.25">
      <c r="A59" s="74" t="s">
        <v>76</v>
      </c>
      <c r="B59" s="74">
        <f>IF(B24=2,B44,0)</f>
        <v>28</v>
      </c>
      <c r="D59" s="77">
        <f>IF(D24=2,B44,0)</f>
        <v>0</v>
      </c>
      <c r="E59" s="74">
        <f>IF(E24=2,E44,0)</f>
        <v>0</v>
      </c>
      <c r="G59" s="77">
        <f>IF(G24=2,E44,0)</f>
        <v>0</v>
      </c>
      <c r="H59" s="74">
        <f>IF(H24=2,H44,0)</f>
        <v>27</v>
      </c>
      <c r="J59" s="77">
        <f>IF(J24=2,H44,0)</f>
        <v>0</v>
      </c>
      <c r="K59" s="77"/>
      <c r="L59" s="74">
        <f>IF(L24=2,L44,0)</f>
        <v>0</v>
      </c>
      <c r="N59" s="77">
        <f>IF(N24=2,L44,0)</f>
        <v>0</v>
      </c>
      <c r="O59" s="74">
        <f>IF(O24=2,O44,0)</f>
        <v>0</v>
      </c>
      <c r="Q59" s="77">
        <f>IF(Q24=2,O44,0)</f>
        <v>0</v>
      </c>
      <c r="R59" s="74">
        <f>IF(R24=2,R44,0)</f>
        <v>0</v>
      </c>
      <c r="T59" s="77">
        <f>IF(T24=2,R44,0)</f>
        <v>33</v>
      </c>
      <c r="U59" s="74">
        <f>IF(U24=2,U44,0)</f>
        <v>0</v>
      </c>
      <c r="W59" s="77">
        <f>IF(W24=2,U44,0)</f>
        <v>0</v>
      </c>
      <c r="X59" s="74">
        <f>IF(X24=2,X44,0)</f>
        <v>0</v>
      </c>
      <c r="Z59" s="77">
        <f>IF(Z24=2,X44,0)</f>
        <v>0</v>
      </c>
      <c r="AA59" s="74">
        <f>IF(AA24=2,AA44,0)</f>
        <v>0</v>
      </c>
      <c r="AC59" s="77">
        <f>IF(AC24=2,AA44,0)</f>
        <v>0</v>
      </c>
      <c r="AD59" s="74">
        <f>IF(AD24=2,AD44,0)</f>
        <v>0</v>
      </c>
      <c r="AF59" s="77">
        <f>IF(AF24=2,AD44,0)</f>
        <v>0</v>
      </c>
      <c r="AG59" s="74">
        <f>SUM(B59:AF59)</f>
        <v>88</v>
      </c>
    </row>
    <row r="60" spans="1:38" s="74" customFormat="1" ht="12.75" hidden="1" customHeight="1" x14ac:dyDescent="0.25">
      <c r="A60" s="74" t="s">
        <v>77</v>
      </c>
      <c r="B60" s="74">
        <f>IF(B24=3,B44,0)</f>
        <v>0</v>
      </c>
      <c r="D60" s="77">
        <f>IF(D24=3,B44,0)</f>
        <v>28</v>
      </c>
      <c r="E60" s="74">
        <f>IF(E24=3,E44,0)</f>
        <v>0</v>
      </c>
      <c r="G60" s="77">
        <f>IF(G24=3,E44,0)</f>
        <v>0</v>
      </c>
      <c r="H60" s="74">
        <f>IF(H24=3,H44,0)</f>
        <v>0</v>
      </c>
      <c r="J60" s="77">
        <f>IF(J24=3,H44,0)</f>
        <v>0</v>
      </c>
      <c r="K60" s="77"/>
      <c r="L60" s="74">
        <f>IF(L24=3,L44,0)</f>
        <v>0</v>
      </c>
      <c r="N60" s="77">
        <f>IF(N24=3,L44,0)</f>
        <v>25</v>
      </c>
      <c r="O60" s="74">
        <f>IF(O24=3,O44,0)</f>
        <v>34</v>
      </c>
      <c r="Q60" s="77">
        <f>IF(Q24=3,O44,0)</f>
        <v>0</v>
      </c>
      <c r="R60" s="74">
        <f>IF(R24=3,R44,0)</f>
        <v>0</v>
      </c>
      <c r="T60" s="77">
        <f>IF(T24=3,R44,0)</f>
        <v>0</v>
      </c>
      <c r="U60" s="74">
        <f>IF(U24=3,U44,0)</f>
        <v>0</v>
      </c>
      <c r="W60" s="77">
        <f>IF(W24=3,U44,0)</f>
        <v>0</v>
      </c>
      <c r="X60" s="74">
        <f>IF(X24=3,X44,0)</f>
        <v>0</v>
      </c>
      <c r="Z60" s="77">
        <f>IF(Z24=3,X44,0)</f>
        <v>0</v>
      </c>
      <c r="AA60" s="74">
        <f>IF(AA24=3,AA44,0)</f>
        <v>0</v>
      </c>
      <c r="AC60" s="77">
        <f>IF(AC24=3,AA44,0)</f>
        <v>0</v>
      </c>
      <c r="AD60" s="74">
        <f>IF(AD24=3,AD44,0)</f>
        <v>0</v>
      </c>
      <c r="AF60" s="77">
        <f>IF(AF24=3,AD44,0)</f>
        <v>0</v>
      </c>
      <c r="AG60" s="74">
        <f>SUM(B60:AF60)</f>
        <v>87</v>
      </c>
    </row>
    <row r="61" spans="1:38" s="74" customFormat="1" ht="12.75" hidden="1" customHeight="1" x14ac:dyDescent="0.25">
      <c r="A61" s="74" t="s">
        <v>78</v>
      </c>
      <c r="B61" s="74">
        <f>IF(B24=4,B44,0)</f>
        <v>0</v>
      </c>
      <c r="D61" s="77">
        <f>IF(D24=4,B44,0)</f>
        <v>0</v>
      </c>
      <c r="E61" s="74">
        <f>IF(E24=4,E44,0)</f>
        <v>0</v>
      </c>
      <c r="G61" s="77">
        <f>IF(G24=4,E44,0)</f>
        <v>30</v>
      </c>
      <c r="H61" s="74">
        <f>IF(H24=4,H44,0)</f>
        <v>0</v>
      </c>
      <c r="J61" s="77">
        <f>IF(J24=4,H44,0)</f>
        <v>27</v>
      </c>
      <c r="K61" s="77"/>
      <c r="L61" s="74">
        <f>IF(L24=4,L44,0)</f>
        <v>0</v>
      </c>
      <c r="N61" s="77">
        <f>IF(N24=4,L44,0)</f>
        <v>0</v>
      </c>
      <c r="O61" s="74">
        <f>IF(O24=4,O44,0)</f>
        <v>0</v>
      </c>
      <c r="Q61" s="77">
        <f>IF(Q24=4,O44,0)</f>
        <v>34</v>
      </c>
      <c r="R61" s="74">
        <f>IF(R24=4,R44,0)</f>
        <v>0</v>
      </c>
      <c r="T61" s="77">
        <f>IF(T24=4,R44,0)</f>
        <v>0</v>
      </c>
      <c r="U61" s="74">
        <f>IF(U24=4,U44,0)</f>
        <v>0</v>
      </c>
      <c r="W61" s="77">
        <f>IF(W24=4,U44,0)</f>
        <v>0</v>
      </c>
      <c r="X61" s="74">
        <f>IF(X24=4,X44,0)</f>
        <v>0</v>
      </c>
      <c r="Z61" s="77">
        <f>IF(Z24=4,X44,0)</f>
        <v>0</v>
      </c>
      <c r="AA61" s="74">
        <f>IF(AA24=4,AA44,0)</f>
        <v>0</v>
      </c>
      <c r="AC61" s="77">
        <f>IF(AC24=4,AA44,0)</f>
        <v>0</v>
      </c>
      <c r="AD61" s="74">
        <f>IF(AD24=4,AD44,0)</f>
        <v>0</v>
      </c>
      <c r="AF61" s="77">
        <f>IF(AF24=4,AD44,0)</f>
        <v>0</v>
      </c>
      <c r="AG61" s="74">
        <f>SUM(B61:AF61)</f>
        <v>91</v>
      </c>
    </row>
    <row r="62" spans="1:38" s="74" customFormat="1" ht="12.75" hidden="1" customHeight="1" x14ac:dyDescent="0.25">
      <c r="A62" s="74" t="s">
        <v>79</v>
      </c>
      <c r="B62" s="74">
        <f>IF(B24=5,B44,0)</f>
        <v>0</v>
      </c>
      <c r="D62" s="77">
        <f>IF(D24=5,B44,0)</f>
        <v>0</v>
      </c>
      <c r="E62" s="74">
        <f>IF(E24=5,E44,0)</f>
        <v>0</v>
      </c>
      <c r="G62" s="77">
        <f>IF(G24=5,E44,0)</f>
        <v>0</v>
      </c>
      <c r="H62" s="74">
        <f>IF(H24=5,H44,0)</f>
        <v>0</v>
      </c>
      <c r="J62" s="77">
        <f>IF(J24=5,H44,0)</f>
        <v>0</v>
      </c>
      <c r="K62" s="77"/>
      <c r="L62" s="74">
        <f>IF(L24=5,L44,0)</f>
        <v>0</v>
      </c>
      <c r="N62" s="77">
        <f>IF(N24=5,L44,0)</f>
        <v>0</v>
      </c>
      <c r="O62" s="74">
        <f>IF(O24=5,O44,0)</f>
        <v>0</v>
      </c>
      <c r="Q62" s="77">
        <f>IF(Q24=5,O44,0)</f>
        <v>0</v>
      </c>
      <c r="R62" s="74">
        <f>IF(R24=5,R44,0)</f>
        <v>0</v>
      </c>
      <c r="T62" s="77">
        <f>IF(T24=5,R44,0)</f>
        <v>0</v>
      </c>
      <c r="U62" s="74">
        <f>IF(U24=5,U44,0)</f>
        <v>0</v>
      </c>
      <c r="W62" s="77">
        <f>IF(W24=5,U44,0)</f>
        <v>0</v>
      </c>
      <c r="X62" s="74">
        <f>IF(X24=5,X44,0)</f>
        <v>0</v>
      </c>
      <c r="Z62" s="77">
        <f>IF(Z24=5,X44,0)</f>
        <v>0</v>
      </c>
      <c r="AA62" s="74">
        <f>IF(AA24=5,AA44,0)</f>
        <v>0</v>
      </c>
      <c r="AC62" s="77">
        <f>IF(AC24=5,AA44,0)</f>
        <v>0</v>
      </c>
      <c r="AD62" s="74">
        <f>IF(AD24=5,AD44,0)</f>
        <v>0</v>
      </c>
      <c r="AF62" s="77">
        <f>IF(AF24=5,AD44,0)</f>
        <v>0</v>
      </c>
      <c r="AG62" s="74">
        <f>SUM(B62:AF62)</f>
        <v>0</v>
      </c>
    </row>
    <row r="63" spans="1:38" s="74" customFormat="1" ht="38.25" hidden="1" customHeight="1" x14ac:dyDescent="0.25">
      <c r="A63" s="74" t="s">
        <v>81</v>
      </c>
      <c r="D63" s="77"/>
      <c r="G63" s="77"/>
      <c r="J63" s="77"/>
      <c r="K63" s="77"/>
      <c r="N63" s="77"/>
      <c r="Q63" s="77"/>
      <c r="T63" s="77"/>
      <c r="W63" s="77"/>
      <c r="Z63" s="77"/>
      <c r="AC63" s="77"/>
      <c r="AF63" s="77"/>
      <c r="AG63" s="78" t="s">
        <v>82</v>
      </c>
      <c r="AH63" s="74" t="s">
        <v>83</v>
      </c>
    </row>
    <row r="64" spans="1:38" s="74" customFormat="1" ht="12.75" hidden="1" customHeight="1" x14ac:dyDescent="0.25">
      <c r="A64" s="74" t="s">
        <v>69</v>
      </c>
      <c r="B64" s="74">
        <f>IF(B24=1,SUMIF(B31:B35,"&gt;0"),0)</f>
        <v>0</v>
      </c>
      <c r="D64" s="77">
        <f>IF(D24=1,SUMIF(D31:D35,"&gt;0"),0)</f>
        <v>0</v>
      </c>
      <c r="E64" s="74">
        <f>IF(E24=1,SUMIF(E31:E35,"&gt;0"),0)</f>
        <v>0</v>
      </c>
      <c r="G64" s="77">
        <f>IF(G24=1,SUMIF(G31:G35,"&gt;0"),0)</f>
        <v>0</v>
      </c>
      <c r="H64" s="74">
        <f>IF(H24=1,SUMIF(H31:H35,"&gt;0"),0)</f>
        <v>0</v>
      </c>
      <c r="J64" s="77">
        <f>IF(J24=1,SUMIF(J31:J35,"&gt;0"),0)</f>
        <v>0</v>
      </c>
      <c r="K64" s="77"/>
      <c r="L64" s="74">
        <f>IF(L24=1,SUMIF(L31:L35,"&gt;0"),0)</f>
        <v>0</v>
      </c>
      <c r="N64" s="77">
        <f>IF(N24=1,SUMIF(N31:N35,"&gt;0"),0)</f>
        <v>0</v>
      </c>
      <c r="O64" s="74">
        <f>IF(O24=1,SUMIF(O31:O35,"&gt;0"),0)</f>
        <v>0</v>
      </c>
      <c r="Q64" s="77">
        <f>IF(Q24=1,SUMIF(Q31:Q35,"&gt;0"),0)</f>
        <v>0</v>
      </c>
      <c r="R64" s="74">
        <f>IF(R24=1,SUMIF(R31:R35,"&gt;0"),0)</f>
        <v>0</v>
      </c>
      <c r="T64" s="77">
        <f>IF(T24=1,SUMIF(T31:T35,"&gt;0"),0)</f>
        <v>0</v>
      </c>
      <c r="U64" s="74">
        <f>IF(U24=1,SUMIF(U31:U35,"&gt;0"),0)</f>
        <v>0</v>
      </c>
      <c r="W64" s="77">
        <f>IF(W24=1,SUMIF(W31:W35,"&gt;0"),0)</f>
        <v>0</v>
      </c>
      <c r="X64" s="74">
        <f>IF(X24=1,SUMIF(X31:X35,"&gt;0"),0)</f>
        <v>0</v>
      </c>
      <c r="Z64" s="77">
        <f>IF(Z24=1,SUMIF(Z31:Z35,"&gt;0"),0)</f>
        <v>0</v>
      </c>
      <c r="AA64" s="74">
        <f>IF(AA24=1,SUMIF(AA31:AA35,"&gt;0"),0)</f>
        <v>0</v>
      </c>
      <c r="AC64" s="77">
        <f>IF(AC24=1,SUMIF(AC31:AC35,"&gt;0"),0)</f>
        <v>0</v>
      </c>
      <c r="AD64" s="74">
        <f>IF(AD24=1,SUMIF(AD31:AD35,"&gt;0"),0)</f>
        <v>0</v>
      </c>
      <c r="AF64" s="77">
        <f>IF(AF24=1,SUMIF(AF31:AF35,"&gt;0"),0)</f>
        <v>0</v>
      </c>
      <c r="AG64" s="74">
        <f>SUM(B64:AF64)</f>
        <v>0</v>
      </c>
      <c r="AH64" s="74">
        <f>AG72-AG64</f>
        <v>3</v>
      </c>
    </row>
    <row r="65" spans="1:81" s="74" customFormat="1" ht="12.75" hidden="1" customHeight="1" x14ac:dyDescent="0.25">
      <c r="A65" s="74" t="s">
        <v>70</v>
      </c>
      <c r="B65" s="74">
        <f>IF(B24=2,SUMIF(B31:B35,"&gt;0"),0)</f>
        <v>1</v>
      </c>
      <c r="D65" s="77">
        <f>IF(D24=2,SUMIF(D31:D35,"&gt;0"),0)</f>
        <v>0</v>
      </c>
      <c r="E65" s="74">
        <f>IF(E24=2,SUMIF(E31:E35,"&gt;0"),0)</f>
        <v>0</v>
      </c>
      <c r="G65" s="77">
        <f>IF(G24=2,SUMIF(G31:G35,"&gt;0"),0)</f>
        <v>0</v>
      </c>
      <c r="H65" s="74">
        <f>IF(H24=2,SUMIF(H31:H35,"&gt;0"),0)</f>
        <v>1</v>
      </c>
      <c r="J65" s="77">
        <f>IF(J24=2,SUMIF(J31:J35,"&gt;0"),0)</f>
        <v>0</v>
      </c>
      <c r="K65" s="77"/>
      <c r="L65" s="74">
        <f>IF(L24=2,SUMIF(L31:L35,"&gt;0"),0)</f>
        <v>0</v>
      </c>
      <c r="N65" s="77">
        <f>IF(N24=2,SUMIF(N31:N35,"&gt;0"),0)</f>
        <v>0</v>
      </c>
      <c r="O65" s="74">
        <f>IF(O24=2,SUMIF(O31:O35,"&gt;0"),0)</f>
        <v>0</v>
      </c>
      <c r="Q65" s="77">
        <f>IF(Q24=2,SUMIF(Q31:Q35,"&gt;0"),0)</f>
        <v>0</v>
      </c>
      <c r="R65" s="74">
        <f>IF(R24=2,SUMIF(R31:R35,"&gt;0"),0)</f>
        <v>0</v>
      </c>
      <c r="T65" s="77">
        <f>IF(T24=2,SUMIF(T31:T35,"&gt;0"),0)</f>
        <v>1</v>
      </c>
      <c r="U65" s="74">
        <f>IF(U24=2,SUMIF(U31:U35,"&gt;0"),0)</f>
        <v>0</v>
      </c>
      <c r="W65" s="77">
        <f>IF(W24=2,SUMIF(W31:W35,"&gt;0"),0)</f>
        <v>0</v>
      </c>
      <c r="X65" s="74">
        <f>IF(X24=2,SUMIF(X31:X35,"&gt;0"),0)</f>
        <v>0</v>
      </c>
      <c r="Z65" s="77">
        <f>IF(Z24=2,SUMIF(Z31:Z35,"&gt;0"),0)</f>
        <v>0</v>
      </c>
      <c r="AA65" s="74">
        <f>IF(AA24=2,SUMIF(AA31:AA35,"&gt;0"),0)</f>
        <v>0</v>
      </c>
      <c r="AC65" s="77">
        <f>IF(AC24=2,SUMIF(AC31:AC35,"&gt;0"),0)</f>
        <v>0</v>
      </c>
      <c r="AD65" s="74">
        <f>IF(AD24=2,SUMIF(AD31:AD35,"&gt;0"),0)</f>
        <v>0</v>
      </c>
      <c r="AF65" s="77">
        <f>IF(AF24=2,SUMIF(AF31:AF35,"&gt;0"),0)</f>
        <v>0</v>
      </c>
      <c r="AG65" s="74">
        <f>SUM(B65:AF65)</f>
        <v>3</v>
      </c>
      <c r="AH65" s="74">
        <f>AG73-AG65</f>
        <v>0</v>
      </c>
    </row>
    <row r="66" spans="1:81" s="74" customFormat="1" ht="12.75" hidden="1" customHeight="1" x14ac:dyDescent="0.25">
      <c r="A66" s="74" t="s">
        <v>71</v>
      </c>
      <c r="B66" s="74">
        <f>IF(B24=3,SUMIF(B31:B35,"&gt;0"),0)</f>
        <v>0</v>
      </c>
      <c r="D66" s="77">
        <f>IF(D24=3,SUMIF(D31:D35,"&gt;0"),0)</f>
        <v>0</v>
      </c>
      <c r="E66" s="74">
        <f>IF(E24=3,SUMIF(E31:E35,"&gt;0"),0)</f>
        <v>0</v>
      </c>
      <c r="G66" s="77">
        <f>IF(G24=3,SUMIF(G31:G35,"&gt;0"),0)</f>
        <v>0</v>
      </c>
      <c r="H66" s="74">
        <f>IF(H24=3,SUMIF(H31:H35,"&gt;0"),0)</f>
        <v>0</v>
      </c>
      <c r="J66" s="77">
        <f>IF(J24=3,SUMIF(J31:J35,"&gt;0"),0)</f>
        <v>0</v>
      </c>
      <c r="K66" s="77"/>
      <c r="L66" s="74">
        <f>IF(L24=3,SUMIF(L31:L35,"&gt;0"),0)</f>
        <v>0</v>
      </c>
      <c r="N66" s="77">
        <f>IF(N24=3,SUMIF(N31:N35,"&gt;0"),0)</f>
        <v>1</v>
      </c>
      <c r="O66" s="74">
        <f>IF(O24=3,SUMIF(O31:O35,"&gt;0"),0)</f>
        <v>0</v>
      </c>
      <c r="Q66" s="77">
        <f>IF(Q24=3,SUMIF(Q31:Q35,"&gt;0"),0)</f>
        <v>0</v>
      </c>
      <c r="R66" s="74">
        <f>IF(R24=3,SUMIF(R31:R35,"&gt;0"),0)</f>
        <v>0</v>
      </c>
      <c r="T66" s="77">
        <f>IF(T24=3,SUMIF(T31:T35,"&gt;0"),0)</f>
        <v>0</v>
      </c>
      <c r="U66" s="74">
        <f>IF(U24=3,SUMIF(U31:U35,"&gt;0"),0)</f>
        <v>0</v>
      </c>
      <c r="W66" s="77">
        <f>IF(W24=3,SUMIF(W31:W35,"&gt;0"),0)</f>
        <v>0</v>
      </c>
      <c r="X66" s="74">
        <f>IF(X24=3,SUMIF(X31:X35,"&gt;0"),0)</f>
        <v>0</v>
      </c>
      <c r="Z66" s="77">
        <f>IF(Z24=3,SUMIF(Z31:Z35,"&gt;0"),0)</f>
        <v>0</v>
      </c>
      <c r="AA66" s="74">
        <f>IF(AA24=3,SUMIF(AA31:AA35,"&gt;0"),0)</f>
        <v>0</v>
      </c>
      <c r="AC66" s="77">
        <f>IF(AC24=3,SUMIF(AC31:AC35,"&gt;0"),0)</f>
        <v>0</v>
      </c>
      <c r="AD66" s="74">
        <f>IF(AD24=3,SUMIF(AD31:AD35,"&gt;0"),0)</f>
        <v>0</v>
      </c>
      <c r="AF66" s="77">
        <f>IF(AF24=3,SUMIF(AF31:AF35,"&gt;0"),0)</f>
        <v>0</v>
      </c>
      <c r="AG66" s="74">
        <f>SUM(B66:AF66)</f>
        <v>1</v>
      </c>
      <c r="AH66" s="74">
        <f>AG74-AG66</f>
        <v>2</v>
      </c>
    </row>
    <row r="67" spans="1:81" s="74" customFormat="1" ht="12.75" hidden="1" customHeight="1" x14ac:dyDescent="0.25">
      <c r="A67" s="74" t="s">
        <v>72</v>
      </c>
      <c r="B67" s="74">
        <f>IF(B24=4,SUMIF(B31:B35,"&gt;0"),0)</f>
        <v>0</v>
      </c>
      <c r="D67" s="77">
        <f>IF(D24=4,SUMIF(D31:D35,"&gt;0"),0)</f>
        <v>0</v>
      </c>
      <c r="E67" s="74">
        <f>IF(E24=4,SUMIF(E31:E35,"&gt;0"),0)</f>
        <v>0</v>
      </c>
      <c r="G67" s="77">
        <f>IF(G24=4,SUMIF(G31:G35,"&gt;0"),0)</f>
        <v>1</v>
      </c>
      <c r="H67" s="74">
        <f>IF(H24=4,SUMIF(H31:H35,"&gt;0"),0)</f>
        <v>0</v>
      </c>
      <c r="J67" s="77">
        <f>IF(J24=4,SUMIF(J31:J35,"&gt;0"),0)</f>
        <v>0</v>
      </c>
      <c r="K67" s="77"/>
      <c r="L67" s="74">
        <f>IF(L24=4,SUMIF(L31:L35,"&gt;0"),0)</f>
        <v>0</v>
      </c>
      <c r="N67" s="77">
        <f>IF(N24=4,SUMIF(N31:N35,"&gt;0"),0)</f>
        <v>0</v>
      </c>
      <c r="O67" s="74">
        <f>IF(O24=4,SUMIF(O31:O35,"&gt;0"),0)</f>
        <v>0</v>
      </c>
      <c r="Q67" s="77">
        <f>IF(Q24=4,SUMIF(Q31:Q35,"&gt;0"),0)</f>
        <v>1</v>
      </c>
      <c r="R67" s="74">
        <f>IF(R24=4,SUMIF(R31:R35,"&gt;0"),0)</f>
        <v>0</v>
      </c>
      <c r="T67" s="77">
        <f>IF(T24=4,SUMIF(T31:T35,"&gt;0"),0)</f>
        <v>0</v>
      </c>
      <c r="U67" s="74">
        <f>IF(U24=4,SUMIF(U31:U35,"&gt;0"),0)</f>
        <v>0</v>
      </c>
      <c r="W67" s="77">
        <f>IF(W24=4,SUMIF(W31:W35,"&gt;0"),0)</f>
        <v>0</v>
      </c>
      <c r="X67" s="74">
        <f>IF(X24=4,SUMIF(X31:X35,"&gt;0"),0)</f>
        <v>0</v>
      </c>
      <c r="Z67" s="77">
        <f>IF(Z24=4,SUMIF(Z31:Z35,"&gt;0"),0)</f>
        <v>0</v>
      </c>
      <c r="AA67" s="74">
        <f>IF(AA24=4,SUMIF(AA31:AA35,"&gt;0"),0)</f>
        <v>0</v>
      </c>
      <c r="AC67" s="77">
        <f>IF(AC24=4,SUMIF(AC31:AC35,"&gt;0"),0)</f>
        <v>0</v>
      </c>
      <c r="AD67" s="74">
        <f>IF(AD24=4,SUMIF(AD31:AD35,"&gt;0"),0)</f>
        <v>0</v>
      </c>
      <c r="AF67" s="77">
        <f>IF(AF24=4,SUMIF(AF31:AF35,"&gt;0"),0)</f>
        <v>0</v>
      </c>
      <c r="AG67" s="74">
        <f>SUM(B67:AF67)</f>
        <v>2</v>
      </c>
      <c r="AH67" s="74">
        <f>AG75-AG67</f>
        <v>1</v>
      </c>
    </row>
    <row r="68" spans="1:81" s="74" customFormat="1" ht="12.75" hidden="1" customHeight="1" x14ac:dyDescent="0.25">
      <c r="A68" s="74" t="s">
        <v>73</v>
      </c>
      <c r="B68" s="74">
        <f>IF(B24=5,SUMIF(B31:B35,"&gt;0"),0)</f>
        <v>0</v>
      </c>
      <c r="D68" s="77">
        <f>IF(D24=5,SUMIF(D31:D35,"&gt;0"),0)</f>
        <v>0</v>
      </c>
      <c r="E68" s="74">
        <f>IF(E24=5,SUMIF(E31:E35,"&gt;0"),0)</f>
        <v>0</v>
      </c>
      <c r="G68" s="77">
        <f>IF(G24=5,SUMIF(G31:G35,"&gt;0"),0)</f>
        <v>0</v>
      </c>
      <c r="H68" s="74">
        <f>IF(H24=5,SUMIF(H31:H35,"&gt;0"),0)</f>
        <v>0</v>
      </c>
      <c r="J68" s="77">
        <f>IF(J24=5,SUMIF(J31:J35,"&gt;0"),0)</f>
        <v>0</v>
      </c>
      <c r="K68" s="77"/>
      <c r="L68" s="74">
        <f>IF(L24=5,SUMIF(L31:L35,"&gt;0"),0)</f>
        <v>0</v>
      </c>
      <c r="N68" s="77">
        <f>IF(N24=5,SUMIF(N31:N35,"&gt;0"),0)</f>
        <v>0</v>
      </c>
      <c r="O68" s="74">
        <f>IF(O24=5,SUMIF(O31:O35,"&gt;0"),0)</f>
        <v>0</v>
      </c>
      <c r="Q68" s="77">
        <f>IF(Q24=5,SUMIF(Q31:Q35,"&gt;0"),0)</f>
        <v>0</v>
      </c>
      <c r="R68" s="74">
        <f>IF(R24=5,SUMIF(R31:R35,"&gt;0"),0)</f>
        <v>0</v>
      </c>
      <c r="T68" s="77">
        <f>IF(T24=5,SUMIF(T31:T35,"&gt;0"),0)</f>
        <v>0</v>
      </c>
      <c r="U68" s="74">
        <f>IF(U24=5,SUMIF(U31:U35,"&gt;0"),0)</f>
        <v>0</v>
      </c>
      <c r="W68" s="77">
        <f>IF(W24=5,SUMIF(W31:W35,"&gt;0"),0)</f>
        <v>0</v>
      </c>
      <c r="X68" s="74">
        <f>IF(X24=5,SUMIF(X31:X35,"&gt;0"),0)</f>
        <v>0</v>
      </c>
      <c r="Z68" s="77">
        <f>IF(Z24=5,SUMIF(Z31:Z35,"&gt;0"),0)</f>
        <v>0</v>
      </c>
      <c r="AA68" s="74">
        <f>IF(AA24=5,SUMIF(AA31:AA35,"&gt;0"),0)</f>
        <v>0</v>
      </c>
      <c r="AC68" s="77">
        <f>IF(AC24=5,SUMIF(AC31:AC35,"&gt;0"),0)</f>
        <v>0</v>
      </c>
      <c r="AD68" s="74">
        <f>IF(AD24=5,SUMIF(AD31:AD35,"&gt;0"),0)</f>
        <v>0</v>
      </c>
      <c r="AF68" s="77">
        <f>IF(AF24=5,SUMIF(AF31:AF35,"&gt;0"),0)</f>
        <v>0</v>
      </c>
      <c r="AG68" s="74">
        <f>SUM(B68:AF68)</f>
        <v>0</v>
      </c>
      <c r="AH68" s="74">
        <f>AG76-AG68</f>
        <v>0</v>
      </c>
    </row>
    <row r="69" spans="1:81" s="74" customFormat="1" ht="12.75" hidden="1" customHeight="1" x14ac:dyDescent="0.25">
      <c r="D69" s="77"/>
      <c r="G69" s="77"/>
      <c r="J69" s="77"/>
      <c r="K69" s="77"/>
      <c r="N69" s="77"/>
      <c r="Q69" s="77"/>
      <c r="T69" s="77"/>
      <c r="W69" s="77"/>
      <c r="Z69" s="77"/>
      <c r="AC69" s="77"/>
      <c r="AF69" s="77"/>
    </row>
    <row r="70" spans="1:81" s="74" customFormat="1" ht="12.75" hidden="1" customHeight="1" x14ac:dyDescent="0.25">
      <c r="D70" s="77"/>
      <c r="G70" s="77"/>
      <c r="J70" s="77"/>
      <c r="K70" s="77"/>
      <c r="N70" s="77"/>
      <c r="Q70" s="77"/>
      <c r="T70" s="77"/>
      <c r="W70" s="77"/>
      <c r="Z70" s="77"/>
      <c r="AC70" s="77"/>
      <c r="AF70" s="77"/>
    </row>
    <row r="71" spans="1:81" s="74" customFormat="1" ht="51" hidden="1" customHeight="1" x14ac:dyDescent="0.25">
      <c r="A71" s="78" t="s">
        <v>84</v>
      </c>
      <c r="C71" s="74">
        <f>SUMIF(B64:D68,"&gt;0")</f>
        <v>1</v>
      </c>
      <c r="D71" s="77"/>
      <c r="F71" s="74">
        <f>SUMIF(E64:G68,"&gt;0")</f>
        <v>1</v>
      </c>
      <c r="G71" s="77"/>
      <c r="I71" s="74">
        <f>SUMIF(H64:J68,"&gt;0")</f>
        <v>1</v>
      </c>
      <c r="J71" s="77"/>
      <c r="K71" s="77"/>
      <c r="M71" s="74">
        <f>SUMIF(L64:N68,"&gt;0")</f>
        <v>1</v>
      </c>
      <c r="N71" s="77"/>
      <c r="P71" s="74">
        <f>SUMIF(O64:Q68,"&gt;0")</f>
        <v>1</v>
      </c>
      <c r="Q71" s="77"/>
      <c r="S71" s="74">
        <f>SUMIF(R64:T68,"&gt;0")</f>
        <v>1</v>
      </c>
      <c r="T71" s="77"/>
      <c r="V71" s="74">
        <f>SUMIF(U64:W68,"&gt;0")</f>
        <v>0</v>
      </c>
      <c r="W71" s="77"/>
      <c r="Y71" s="74">
        <f>SUMIF(X64:Z68,"&gt;0")</f>
        <v>0</v>
      </c>
      <c r="Z71" s="77"/>
      <c r="AB71" s="74">
        <f>SUMIF(AA64:AC68,"&gt;0")</f>
        <v>0</v>
      </c>
      <c r="AC71" s="77"/>
      <c r="AE71" s="74">
        <f>SUMIF(AD64:AF68,"&gt;0")</f>
        <v>0</v>
      </c>
      <c r="AF71" s="77"/>
      <c r="AG71" s="78" t="s">
        <v>85</v>
      </c>
    </row>
    <row r="72" spans="1:81" s="74" customFormat="1" ht="12.75" hidden="1" customHeight="1" x14ac:dyDescent="0.25">
      <c r="A72" s="74" t="s">
        <v>75</v>
      </c>
      <c r="B72" s="74">
        <f>IF(B24=1,C71,0)</f>
        <v>0</v>
      </c>
      <c r="D72" s="77">
        <f>IF(D24=1,C71,0)</f>
        <v>0</v>
      </c>
      <c r="E72" s="74">
        <f>IF(E24=1,F71,0)</f>
        <v>1</v>
      </c>
      <c r="G72" s="77">
        <f>IF(G24=1,F71,0)</f>
        <v>0</v>
      </c>
      <c r="H72" s="74">
        <f>IF(H24=1,I71,0)</f>
        <v>0</v>
      </c>
      <c r="J72" s="77">
        <f>IF(J24=1,I71,0)</f>
        <v>0</v>
      </c>
      <c r="K72" s="77"/>
      <c r="L72" s="74">
        <f>IF(L24=1,M71,0)</f>
        <v>1</v>
      </c>
      <c r="N72" s="77">
        <f>IF(N24=1,M71,0)</f>
        <v>0</v>
      </c>
      <c r="O72" s="74">
        <f>IF(O24=1,P71,0)</f>
        <v>0</v>
      </c>
      <c r="Q72" s="77">
        <f>IF(Q24=1,P71,0)</f>
        <v>0</v>
      </c>
      <c r="R72" s="74">
        <f>IF(R24=1,S71,0)</f>
        <v>1</v>
      </c>
      <c r="T72" s="77">
        <f>IF(T24=1,S71,0)</f>
        <v>0</v>
      </c>
      <c r="U72" s="74">
        <f>IF(U24=1,V71,0)</f>
        <v>0</v>
      </c>
      <c r="W72" s="77">
        <f>IF(W24=1,V71,0)</f>
        <v>0</v>
      </c>
      <c r="X72" s="74">
        <f>IF(X24=1,Y71,0)</f>
        <v>0</v>
      </c>
      <c r="Z72" s="77">
        <f>IF(Z24=1,Y71,0)</f>
        <v>0</v>
      </c>
      <c r="AA72" s="74">
        <f>IF(AA24=1,AB71,0)</f>
        <v>0</v>
      </c>
      <c r="AC72" s="77">
        <f>IF(AC24=1,AB71,0)</f>
        <v>0</v>
      </c>
      <c r="AD72" s="74">
        <f>IF(AD24=1,AE71,0)</f>
        <v>0</v>
      </c>
      <c r="AF72" s="77">
        <f>IF(AF24=1,AE71,0)</f>
        <v>0</v>
      </c>
      <c r="AG72" s="74">
        <f>SUM(B72:AF72)</f>
        <v>3</v>
      </c>
    </row>
    <row r="73" spans="1:81" s="74" customFormat="1" ht="12.75" hidden="1" customHeight="1" x14ac:dyDescent="0.25">
      <c r="A73" s="74" t="s">
        <v>76</v>
      </c>
      <c r="B73" s="74">
        <f>IF(B24=2,C71,0)</f>
        <v>1</v>
      </c>
      <c r="D73" s="77">
        <f>IF(D24=2,C71,0)</f>
        <v>0</v>
      </c>
      <c r="E73" s="74">
        <f>IF(E24=2,F71,0)</f>
        <v>0</v>
      </c>
      <c r="G73" s="77">
        <f>IF(G24=2,F71,0)</f>
        <v>0</v>
      </c>
      <c r="H73" s="74">
        <f>IF(H24=2,I71,0)</f>
        <v>1</v>
      </c>
      <c r="J73" s="77">
        <f>IF(J24=2,I71,0)</f>
        <v>0</v>
      </c>
      <c r="K73" s="77"/>
      <c r="L73" s="74">
        <f>IF(L24=2,M71,0)</f>
        <v>0</v>
      </c>
      <c r="N73" s="77">
        <f>IF(N24=2,M71,0)</f>
        <v>0</v>
      </c>
      <c r="O73" s="74">
        <f>IF(O24=2,P71,0)</f>
        <v>0</v>
      </c>
      <c r="Q73" s="77">
        <f>IF(Q24=2,P71,0)</f>
        <v>0</v>
      </c>
      <c r="R73" s="74">
        <f>IF(R24=2,S71,0)</f>
        <v>0</v>
      </c>
      <c r="T73" s="77">
        <f>IF(T24=2,S71,0)</f>
        <v>1</v>
      </c>
      <c r="U73" s="74">
        <f>IF(U24=2,V71,0)</f>
        <v>0</v>
      </c>
      <c r="W73" s="77">
        <f>IF(W24=2,V71,0)</f>
        <v>0</v>
      </c>
      <c r="X73" s="74">
        <f>IF(X24=2,Y71,0)</f>
        <v>0</v>
      </c>
      <c r="Z73" s="77">
        <f>IF(Z24=2,Y71,0)</f>
        <v>0</v>
      </c>
      <c r="AA73" s="74">
        <f>IF(AA24=2,AB71,0)</f>
        <v>0</v>
      </c>
      <c r="AC73" s="77">
        <f>IF(AC24=2,AB71,0)</f>
        <v>0</v>
      </c>
      <c r="AD73" s="74">
        <f>IF(AD24=2,AE71,0)</f>
        <v>0</v>
      </c>
      <c r="AF73" s="77">
        <f>IF(AF24=2,AE71,0)</f>
        <v>0</v>
      </c>
      <c r="AG73" s="74">
        <f>SUM(B73:AF73)</f>
        <v>3</v>
      </c>
    </row>
    <row r="74" spans="1:81" s="74" customFormat="1" ht="12.75" hidden="1" customHeight="1" x14ac:dyDescent="0.25">
      <c r="A74" s="74" t="s">
        <v>77</v>
      </c>
      <c r="B74" s="74">
        <f>IF(B24=3,C71,0)</f>
        <v>0</v>
      </c>
      <c r="D74" s="77">
        <f>IF(D24=3,C71,0)</f>
        <v>1</v>
      </c>
      <c r="E74" s="74">
        <f>IF(E24=3,F71,0)</f>
        <v>0</v>
      </c>
      <c r="G74" s="77">
        <f>IF(G24=3,F71,0)</f>
        <v>0</v>
      </c>
      <c r="H74" s="74">
        <f>IF(H24=3,I71,0)</f>
        <v>0</v>
      </c>
      <c r="J74" s="77">
        <f>IF(J24=3,I71,0)</f>
        <v>0</v>
      </c>
      <c r="K74" s="77"/>
      <c r="L74" s="74">
        <f>IF(L24=3,M71,0)</f>
        <v>0</v>
      </c>
      <c r="N74" s="77">
        <f>IF(N24=3,M71,0)</f>
        <v>1</v>
      </c>
      <c r="O74" s="74">
        <f>IF(O24=3,P71,0)</f>
        <v>1</v>
      </c>
      <c r="Q74" s="77">
        <f>IF(Q24=3,P71,0)</f>
        <v>0</v>
      </c>
      <c r="R74" s="74">
        <f>IF(R24=3,S71,0)</f>
        <v>0</v>
      </c>
      <c r="T74" s="77">
        <f>IF(T24=3,S71,0)</f>
        <v>0</v>
      </c>
      <c r="U74" s="74">
        <f>IF(U24=3,V71,0)</f>
        <v>0</v>
      </c>
      <c r="W74" s="77">
        <f>IF(W24=3,V71,0)</f>
        <v>0</v>
      </c>
      <c r="X74" s="74">
        <f>IF(X24=3,Y71,0)</f>
        <v>0</v>
      </c>
      <c r="Z74" s="77">
        <f>IF(Z24=3,Y71,0)</f>
        <v>0</v>
      </c>
      <c r="AA74" s="74">
        <f>IF(AA24=3,AB71,0)</f>
        <v>0</v>
      </c>
      <c r="AC74" s="77">
        <f>IF(AC24=3,AB71,0)</f>
        <v>0</v>
      </c>
      <c r="AD74" s="74">
        <f>IF(AD24=3,AE71,0)</f>
        <v>0</v>
      </c>
      <c r="AF74" s="77">
        <f>IF(AF24=3,AE71,0)</f>
        <v>0</v>
      </c>
      <c r="AG74" s="74">
        <f>SUM(B74:AF74)</f>
        <v>3</v>
      </c>
    </row>
    <row r="75" spans="1:81" s="74" customFormat="1" ht="12.75" hidden="1" customHeight="1" x14ac:dyDescent="0.25">
      <c r="A75" s="74" t="s">
        <v>78</v>
      </c>
      <c r="B75" s="74">
        <f>IF(B24=4,C71,0)</f>
        <v>0</v>
      </c>
      <c r="D75" s="77">
        <f>IF(D24=4,C71,0)</f>
        <v>0</v>
      </c>
      <c r="E75" s="74">
        <f>IF(E24=4,F71,0)</f>
        <v>0</v>
      </c>
      <c r="G75" s="77">
        <f>IF(G24=4,F71,0)</f>
        <v>1</v>
      </c>
      <c r="H75" s="74">
        <f>IF(H24=4,I71,0)</f>
        <v>0</v>
      </c>
      <c r="J75" s="77">
        <f>IF(J24=4,I71,0)</f>
        <v>1</v>
      </c>
      <c r="K75" s="77"/>
      <c r="L75" s="74">
        <f>IF(L24=4,M71,0)</f>
        <v>0</v>
      </c>
      <c r="N75" s="77">
        <f>IF(N24=4,M71,0)</f>
        <v>0</v>
      </c>
      <c r="O75" s="74">
        <f>IF(O24=4,P71,0)</f>
        <v>0</v>
      </c>
      <c r="Q75" s="77">
        <f>IF(Q24=4,P71,0)</f>
        <v>1</v>
      </c>
      <c r="R75" s="74">
        <f>IF(R24=4,S71,0)</f>
        <v>0</v>
      </c>
      <c r="T75" s="77">
        <f>IF(T24=4,S71,0)</f>
        <v>0</v>
      </c>
      <c r="U75" s="74">
        <f>IF(U24=4,V71,0)</f>
        <v>0</v>
      </c>
      <c r="W75" s="77">
        <f>IF(W24=4,V71,0)</f>
        <v>0</v>
      </c>
      <c r="X75" s="74">
        <f>IF(X24=4,Y71,0)</f>
        <v>0</v>
      </c>
      <c r="Z75" s="77">
        <f>IF(Z24=4,Y71,0)</f>
        <v>0</v>
      </c>
      <c r="AA75" s="74">
        <f>IF(AA24=4,AB71,0)</f>
        <v>0</v>
      </c>
      <c r="AC75" s="77">
        <f>IF(AC24=4,AB71,0)</f>
        <v>0</v>
      </c>
      <c r="AD75" s="74">
        <f>IF(AD24=4,AE71,0)</f>
        <v>0</v>
      </c>
      <c r="AF75" s="77">
        <f>IF(AF24=4,AE71,0)</f>
        <v>0</v>
      </c>
      <c r="AG75" s="74">
        <f>SUM(B75:AF75)</f>
        <v>3</v>
      </c>
    </row>
    <row r="76" spans="1:81" s="74" customFormat="1" ht="12.75" hidden="1" customHeight="1" x14ac:dyDescent="0.25">
      <c r="A76" s="74" t="s">
        <v>79</v>
      </c>
      <c r="B76" s="74">
        <f>IF(B24=5,C71,0)</f>
        <v>0</v>
      </c>
      <c r="D76" s="77">
        <f>IF(D24=5,C71,0)</f>
        <v>0</v>
      </c>
      <c r="E76" s="74">
        <f>IF(E24=5,F71,0)</f>
        <v>0</v>
      </c>
      <c r="G76" s="77">
        <f>IF(G24=5,F71,0)</f>
        <v>0</v>
      </c>
      <c r="H76" s="74">
        <f>IF(H24=5,I71,0)</f>
        <v>0</v>
      </c>
      <c r="J76" s="77">
        <f>IF(J24=5,I71,0)</f>
        <v>0</v>
      </c>
      <c r="K76" s="77"/>
      <c r="L76" s="74">
        <f>IF(L24=5,M71,0)</f>
        <v>0</v>
      </c>
      <c r="N76" s="77">
        <f>IF(N24=5,M71,0)</f>
        <v>0</v>
      </c>
      <c r="O76" s="74">
        <f>IF(O24=5,P71,0)</f>
        <v>0</v>
      </c>
      <c r="Q76" s="77">
        <f>IF(Q24=5,P71,0)</f>
        <v>0</v>
      </c>
      <c r="R76" s="74">
        <f>IF(R24=5,S71,0)</f>
        <v>0</v>
      </c>
      <c r="T76" s="77">
        <f>IF(T24=5,S71,0)</f>
        <v>0</v>
      </c>
      <c r="U76" s="74">
        <f>IF(U24=5,V71,0)</f>
        <v>0</v>
      </c>
      <c r="W76" s="77">
        <f>IF(W24=5,V71,0)</f>
        <v>0</v>
      </c>
      <c r="X76" s="74">
        <f>IF(X24=5,Y71,0)</f>
        <v>0</v>
      </c>
      <c r="Z76" s="77">
        <f>IF(Z24=5,Y71,0)</f>
        <v>0</v>
      </c>
      <c r="AA76" s="74">
        <f>IF(AA24=5,AB71,0)</f>
        <v>0</v>
      </c>
      <c r="AC76" s="77">
        <f>IF(AC24=5,AB71,0)</f>
        <v>0</v>
      </c>
      <c r="AD76" s="74">
        <f>IF(AD24=5,AE71,0)</f>
        <v>0</v>
      </c>
      <c r="AF76" s="77">
        <f>IF(AF24=5,AE71,0)</f>
        <v>0</v>
      </c>
      <c r="AG76" s="74">
        <f>SUM(B76:AF76)</f>
        <v>0</v>
      </c>
    </row>
    <row r="77" spans="1:81" hidden="1" x14ac:dyDescent="0.25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80"/>
      <c r="AP77" s="80"/>
      <c r="AQ77" s="80"/>
      <c r="AR77" s="80"/>
      <c r="AS77" s="81"/>
      <c r="AT77" s="81"/>
      <c r="AU77" s="81"/>
      <c r="AV77" s="81"/>
      <c r="AW77" s="82"/>
      <c r="BB77" s="82"/>
      <c r="BE77" s="82"/>
      <c r="BH77" s="82"/>
      <c r="BK77" s="82"/>
      <c r="BN77" s="82"/>
      <c r="BQ77" s="82"/>
      <c r="BT77" s="82"/>
      <c r="BW77" s="82"/>
      <c r="BZ77" s="82"/>
      <c r="CC77" s="82"/>
    </row>
    <row r="78" spans="1:81" s="81" customFormat="1" hidden="1" x14ac:dyDescent="0.25">
      <c r="A78" s="83"/>
      <c r="B78" s="83"/>
      <c r="C78" s="83" t="s">
        <v>86</v>
      </c>
      <c r="D78" s="83">
        <v>1</v>
      </c>
      <c r="E78" s="83"/>
      <c r="F78" s="83"/>
      <c r="G78" s="83">
        <v>2</v>
      </c>
      <c r="H78" s="83"/>
      <c r="I78" s="83"/>
      <c r="J78" s="83">
        <v>3</v>
      </c>
      <c r="K78" s="83"/>
      <c r="L78" s="83"/>
      <c r="M78" s="83"/>
      <c r="N78" s="83">
        <v>4</v>
      </c>
      <c r="O78" s="83"/>
      <c r="P78" s="83"/>
      <c r="Q78" s="83">
        <v>5</v>
      </c>
      <c r="R78" s="83"/>
      <c r="S78" s="83"/>
      <c r="T78" s="83">
        <v>6</v>
      </c>
      <c r="U78" s="83"/>
      <c r="V78" s="83"/>
      <c r="W78" s="83">
        <v>7</v>
      </c>
      <c r="X78" s="83"/>
      <c r="Y78" s="83"/>
      <c r="Z78" s="83">
        <v>8</v>
      </c>
      <c r="AA78" s="83"/>
      <c r="AB78" s="83"/>
      <c r="AC78" s="83">
        <v>9</v>
      </c>
      <c r="AD78" s="83"/>
      <c r="AE78" s="83"/>
      <c r="AF78" s="83">
        <v>10</v>
      </c>
      <c r="AG78"/>
      <c r="AH78" s="83"/>
      <c r="AJ78" s="84"/>
      <c r="AK78"/>
      <c r="AL78"/>
      <c r="AM78"/>
      <c r="AN78"/>
      <c r="AO78"/>
      <c r="AP78"/>
      <c r="AT78" s="84" t="s">
        <v>87</v>
      </c>
      <c r="AW78" s="85"/>
      <c r="BB78" s="85"/>
      <c r="BE78" s="85"/>
      <c r="BH78" s="85"/>
      <c r="BK78" s="85"/>
      <c r="BN78" s="85"/>
      <c r="BQ78" s="85"/>
      <c r="BT78" s="85"/>
      <c r="BW78" s="85"/>
      <c r="BZ78" s="85"/>
      <c r="CC78" s="85"/>
    </row>
    <row r="79" spans="1:81" s="81" customFormat="1" hidden="1" x14ac:dyDescent="0.25">
      <c r="A79" s="86">
        <v>1</v>
      </c>
      <c r="B79" s="86" t="str">
        <f>E8</f>
        <v>C1VB Juniors Royal</v>
      </c>
      <c r="C79" s="86">
        <f>VLOOKUP(B79,AU$3:AY$33,3,FALSE)</f>
        <v>1246.5304984710244</v>
      </c>
      <c r="D79" s="86">
        <f>IF(B72,B87,IF(D72,D87,C79))</f>
        <v>1246.5304984710244</v>
      </c>
      <c r="E79" s="86"/>
      <c r="F79" s="86"/>
      <c r="G79" s="86">
        <f>IF(E72,E87,IF(G72,G87,D79))</f>
        <v>1237.7957477065368</v>
      </c>
      <c r="H79" s="86"/>
      <c r="I79" s="86"/>
      <c r="J79" s="86">
        <f>IF(H72,H87,IF(J72,J87,G79))</f>
        <v>1237.7957477065368</v>
      </c>
      <c r="K79" s="86"/>
      <c r="L79" s="86"/>
      <c r="M79" s="86"/>
      <c r="N79" s="86">
        <f>IF(L72,L87,IF(N72,N87,J79))</f>
        <v>1228.7747856551211</v>
      </c>
      <c r="O79" s="86"/>
      <c r="P79" s="86"/>
      <c r="Q79" s="86">
        <f>IF(O72,O87,IF(Q72,Q87,N79))</f>
        <v>1228.7747856551211</v>
      </c>
      <c r="R79" s="86"/>
      <c r="S79" s="86"/>
      <c r="T79" s="86">
        <f>IF(R72,R87,IF(T72,T87,Q79))</f>
        <v>1221.7686698636426</v>
      </c>
      <c r="U79" s="86"/>
      <c r="V79" s="86"/>
      <c r="W79" s="86">
        <f>IF(U72,U87,IF(W72,W87,T79))</f>
        <v>1221.7686698636426</v>
      </c>
      <c r="X79" s="86"/>
      <c r="Y79" s="86"/>
      <c r="Z79" s="86">
        <f>IF(X72,X87,IF(Z72,Z87,W79))</f>
        <v>1221.7686698636426</v>
      </c>
      <c r="AA79" s="86"/>
      <c r="AB79" s="86"/>
      <c r="AC79" s="86">
        <f>IF(AA72,AA87,IF(AC72,AC87,Z79))</f>
        <v>1221.7686698636426</v>
      </c>
      <c r="AD79" s="86"/>
      <c r="AE79" s="86"/>
      <c r="AF79" s="86">
        <f>IF(AD72,AD87,IF(AF72,AF87,AC79))</f>
        <v>1221.7686698636426</v>
      </c>
      <c r="AG79"/>
      <c r="AH79"/>
      <c r="AK79"/>
      <c r="AL79"/>
      <c r="AM79"/>
      <c r="AN79"/>
      <c r="AO79"/>
      <c r="AP79"/>
      <c r="AT79" s="81" t="str">
        <f>B79</f>
        <v>C1VB Juniors Royal</v>
      </c>
      <c r="AU79" s="81">
        <f>AF79</f>
        <v>1221.7686698636426</v>
      </c>
      <c r="AW79" s="85"/>
      <c r="BB79" s="85"/>
      <c r="BE79" s="85"/>
      <c r="BH79" s="85"/>
      <c r="BK79" s="85"/>
      <c r="BN79" s="85"/>
      <c r="BQ79" s="85"/>
      <c r="BT79" s="85"/>
      <c r="BW79" s="85"/>
      <c r="BZ79" s="85"/>
      <c r="CC79" s="85"/>
    </row>
    <row r="80" spans="1:81" s="81" customFormat="1" hidden="1" x14ac:dyDescent="0.25">
      <c r="A80" s="86">
        <v>2</v>
      </c>
      <c r="B80" s="86" t="str">
        <f>E10</f>
        <v>SC Midlands KP Boys</v>
      </c>
      <c r="C80" s="86">
        <f>VLOOKUP(B80,AU$3:AY$33,3,FALSE)</f>
        <v>1258.4581800415169</v>
      </c>
      <c r="D80" s="86">
        <f>IF(B73,B87,IF(D73,D87,C80))</f>
        <v>1265.1219279810343</v>
      </c>
      <c r="E80" s="86"/>
      <c r="F80" s="86"/>
      <c r="G80" s="86">
        <f>IF(E73,E87,IF(G73,G87,D80))</f>
        <v>1265.1219279810343</v>
      </c>
      <c r="H80" s="86"/>
      <c r="I80" s="86"/>
      <c r="J80" s="86">
        <f>IF(H73,H87,IF(J73,J87,G80))</f>
        <v>1272.1627781529005</v>
      </c>
      <c r="K80" s="86"/>
      <c r="L80" s="86"/>
      <c r="M80" s="86"/>
      <c r="N80" s="86">
        <f>IF(L73,L87,IF(N73,N87,J80))</f>
        <v>1272.1627781529005</v>
      </c>
      <c r="O80" s="86"/>
      <c r="P80" s="86"/>
      <c r="Q80" s="86">
        <f>IF(O73,O87,IF(Q73,Q87,N80))</f>
        <v>1272.1627781529005</v>
      </c>
      <c r="R80" s="86"/>
      <c r="S80" s="86"/>
      <c r="T80" s="86">
        <f>IF(R73,R87,IF(T73,T87,Q80))</f>
        <v>1279.1688939443791</v>
      </c>
      <c r="U80" s="86"/>
      <c r="V80" s="86"/>
      <c r="W80" s="86">
        <f>IF(U73,U87,IF(W73,W87,T80))</f>
        <v>1279.1688939443791</v>
      </c>
      <c r="X80" s="86"/>
      <c r="Y80" s="86"/>
      <c r="Z80" s="86">
        <f>IF(X73,X87,IF(Z73,Z87,W80))</f>
        <v>1279.1688939443791</v>
      </c>
      <c r="AA80" s="86"/>
      <c r="AB80" s="86"/>
      <c r="AC80" s="86">
        <f>IF(AA73,AA87,IF(AC73,AC87,Z80))</f>
        <v>1279.1688939443791</v>
      </c>
      <c r="AD80" s="86"/>
      <c r="AE80" s="86"/>
      <c r="AF80" s="86">
        <f>IF(AD73,AD87,IF(AF73,AF87,AC80))</f>
        <v>1279.1688939443791</v>
      </c>
      <c r="AG80"/>
      <c r="AH80"/>
      <c r="AK80"/>
      <c r="AM80"/>
      <c r="AN80"/>
      <c r="AO80"/>
      <c r="AP80"/>
      <c r="AT80" s="81" t="str">
        <f>B80</f>
        <v>SC Midlands KP Boys</v>
      </c>
      <c r="AU80" s="81">
        <f>AF80</f>
        <v>1279.1688939443791</v>
      </c>
      <c r="AW80" s="85"/>
      <c r="BB80" s="85"/>
      <c r="BE80" s="85"/>
      <c r="BH80" s="85"/>
      <c r="BK80" s="85"/>
      <c r="BN80" s="85"/>
      <c r="BQ80" s="85"/>
      <c r="BT80" s="85"/>
      <c r="BW80" s="85"/>
      <c r="BZ80" s="85"/>
      <c r="CC80" s="85"/>
    </row>
    <row r="81" spans="1:81" s="81" customFormat="1" hidden="1" x14ac:dyDescent="0.25">
      <c r="A81" s="86">
        <v>3</v>
      </c>
      <c r="B81" s="86" t="str">
        <f>E12</f>
        <v>SC Midlands KP White</v>
      </c>
      <c r="C81" s="86">
        <f>VLOOKUP(B81,AU$3:AY$33,3,FALSE)</f>
        <v>1199.8765772221348</v>
      </c>
      <c r="D81" s="86">
        <f>IF(B74,B87,IF(D74,D87,C81))</f>
        <v>1193.2128292826173</v>
      </c>
      <c r="E81" s="86"/>
      <c r="F81" s="86"/>
      <c r="G81" s="86">
        <f>IF(E74,E87,IF(G74,G87,D81))</f>
        <v>1193.2128292826173</v>
      </c>
      <c r="H81" s="86"/>
      <c r="I81" s="86"/>
      <c r="J81" s="86">
        <f>IF(H74,H87,IF(J74,J87,G81))</f>
        <v>1193.2128292826173</v>
      </c>
      <c r="K81" s="86"/>
      <c r="L81" s="86"/>
      <c r="M81" s="86"/>
      <c r="N81" s="86">
        <f>IF(L74,L87,IF(N74,N87,J81))</f>
        <v>1202.233791334033</v>
      </c>
      <c r="O81" s="86"/>
      <c r="P81" s="86"/>
      <c r="Q81" s="86">
        <f>IF(O74,O87,IF(Q74,Q87,N81))</f>
        <v>1194.5557629721243</v>
      </c>
      <c r="R81" s="86"/>
      <c r="S81" s="86"/>
      <c r="T81" s="86">
        <f>IF(R74,R87,IF(T74,T87,Q81))</f>
        <v>1194.5557629721243</v>
      </c>
      <c r="U81" s="86"/>
      <c r="V81" s="86"/>
      <c r="W81" s="86">
        <f>IF(U74,U87,IF(W74,W87,T81))</f>
        <v>1194.5557629721243</v>
      </c>
      <c r="X81" s="86"/>
      <c r="Y81" s="86"/>
      <c r="Z81" s="86">
        <f>IF(X74,X87,IF(Z74,Z87,W81))</f>
        <v>1194.5557629721243</v>
      </c>
      <c r="AA81" s="86"/>
      <c r="AB81" s="86"/>
      <c r="AC81" s="86">
        <f>IF(AA74,AA87,IF(AC74,AC87,Z81))</f>
        <v>1194.5557629721243</v>
      </c>
      <c r="AD81" s="86"/>
      <c r="AE81" s="86"/>
      <c r="AF81" s="86">
        <f>IF(AD74,AD87,IF(AF74,AF87,AC81))</f>
        <v>1194.5557629721243</v>
      </c>
      <c r="AG81"/>
      <c r="AH81"/>
      <c r="AK81"/>
      <c r="AM81"/>
      <c r="AN81"/>
      <c r="AO81"/>
      <c r="AP81"/>
      <c r="AT81" s="81" t="str">
        <f>B81</f>
        <v>SC Midlands KP White</v>
      </c>
      <c r="AU81" s="81">
        <f>AF81</f>
        <v>1194.5557629721243</v>
      </c>
      <c r="AW81" s="85"/>
      <c r="BB81" s="85"/>
      <c r="BE81" s="85"/>
      <c r="BH81" s="85"/>
      <c r="BK81" s="85"/>
      <c r="BN81" s="85"/>
      <c r="BQ81" s="85"/>
      <c r="BT81" s="85"/>
      <c r="BW81" s="85"/>
      <c r="BZ81" s="85"/>
      <c r="CC81" s="85"/>
    </row>
    <row r="82" spans="1:81" s="81" customFormat="1" hidden="1" x14ac:dyDescent="0.25">
      <c r="A82" s="86">
        <v>4</v>
      </c>
      <c r="B82" s="86" t="str">
        <f>E14</f>
        <v>Intense kids power col</v>
      </c>
      <c r="C82" s="86">
        <f>VLOOKUP(B82,AU$3:AY$33,3,FALSE)</f>
        <v>1214.5304984710244</v>
      </c>
      <c r="D82" s="86">
        <f>IF(B75,B87,IF(D75,D87,C82))</f>
        <v>1214.5304984710244</v>
      </c>
      <c r="E82" s="86"/>
      <c r="F82" s="86"/>
      <c r="G82" s="86">
        <f>IF(E75,E87,IF(G75,G87,D82))</f>
        <v>1223.2652492355121</v>
      </c>
      <c r="H82" s="86"/>
      <c r="I82" s="86"/>
      <c r="J82" s="86">
        <f>IF(H75,H87,IF(J75,J87,G82))</f>
        <v>1216.2243990636459</v>
      </c>
      <c r="K82" s="86"/>
      <c r="L82" s="86"/>
      <c r="M82" s="86"/>
      <c r="N82" s="86">
        <f>IF(L75,L87,IF(N75,N87,J82))</f>
        <v>1216.2243990636459</v>
      </c>
      <c r="O82" s="86"/>
      <c r="P82" s="86"/>
      <c r="Q82" s="86">
        <f>IF(O75,O87,IF(Q75,Q87,N82))</f>
        <v>1223.9024274255546</v>
      </c>
      <c r="R82" s="86"/>
      <c r="S82" s="86"/>
      <c r="T82" s="86">
        <f>IF(R75,R87,IF(T75,T87,Q82))</f>
        <v>1223.9024274255546</v>
      </c>
      <c r="U82" s="86"/>
      <c r="V82" s="86"/>
      <c r="W82" s="86">
        <f>IF(U75,U87,IF(W75,W87,T82))</f>
        <v>1223.9024274255546</v>
      </c>
      <c r="X82" s="86"/>
      <c r="Y82" s="86"/>
      <c r="Z82" s="86">
        <f>IF(X75,X87,IF(Z75,Z87,W82))</f>
        <v>1223.9024274255546</v>
      </c>
      <c r="AA82" s="86"/>
      <c r="AB82" s="86"/>
      <c r="AC82" s="86">
        <f>IF(AA75,AA87,IF(AC75,AC87,Z82))</f>
        <v>1223.9024274255546</v>
      </c>
      <c r="AD82" s="86"/>
      <c r="AE82" s="86"/>
      <c r="AF82" s="86">
        <f>IF(AD75,AD87,IF(AF75,AF87,AC82))</f>
        <v>1223.9024274255546</v>
      </c>
      <c r="AG82"/>
      <c r="AH82"/>
      <c r="AK82"/>
      <c r="AM82"/>
      <c r="AN82"/>
      <c r="AO82"/>
      <c r="AP82"/>
      <c r="AT82" s="81" t="str">
        <f>B82</f>
        <v>Intense kids power col</v>
      </c>
      <c r="AU82" s="81">
        <f>AF82</f>
        <v>1223.9024274255546</v>
      </c>
      <c r="AW82" s="85"/>
      <c r="BB82" s="85"/>
      <c r="BE82" s="85"/>
      <c r="BH82" s="85"/>
      <c r="BK82" s="85"/>
      <c r="BN82" s="85"/>
      <c r="BQ82" s="85"/>
      <c r="BT82" s="85"/>
      <c r="BW82" s="85"/>
      <c r="BZ82" s="85"/>
      <c r="CC82" s="85"/>
    </row>
    <row r="83" spans="1:81" s="81" customFormat="1" hidden="1" x14ac:dyDescent="0.25">
      <c r="A83" s="86">
        <v>5</v>
      </c>
      <c r="B83" s="86">
        <f>E16</f>
        <v>0</v>
      </c>
      <c r="C83" s="86" t="e">
        <f>VLOOKUP(B83,AU$3:AY$33,3,FALSE)</f>
        <v>#N/A</v>
      </c>
      <c r="D83" s="86" t="e">
        <f>IF(B76,B87,IF(D76,D87,C83))</f>
        <v>#N/A</v>
      </c>
      <c r="E83" s="86"/>
      <c r="F83" s="86"/>
      <c r="G83" s="86" t="e">
        <f>IF(E76,E87,IF(G76,G87,D83))</f>
        <v>#N/A</v>
      </c>
      <c r="H83" s="86"/>
      <c r="I83" s="86"/>
      <c r="J83" s="86" t="e">
        <f>IF(H76,H87,IF(J76,J87,G83))</f>
        <v>#N/A</v>
      </c>
      <c r="K83" s="86"/>
      <c r="L83" s="86"/>
      <c r="M83" s="86"/>
      <c r="N83" s="86" t="e">
        <f>IF(L76,L87,IF(N76,N87,J83))</f>
        <v>#N/A</v>
      </c>
      <c r="O83" s="86"/>
      <c r="P83" s="86"/>
      <c r="Q83" s="86" t="e">
        <f>IF(O76,O87,IF(Q76,Q87,N83))</f>
        <v>#N/A</v>
      </c>
      <c r="R83" s="86"/>
      <c r="S83" s="86"/>
      <c r="T83" s="86" t="e">
        <f>IF(R76,R87,IF(T76,T87,Q83))</f>
        <v>#N/A</v>
      </c>
      <c r="U83" s="86"/>
      <c r="V83" s="86"/>
      <c r="W83" s="86" t="e">
        <f>IF(U76,U87,IF(W76,W87,T83))</f>
        <v>#N/A</v>
      </c>
      <c r="X83" s="86"/>
      <c r="Y83" s="86"/>
      <c r="Z83" s="86" t="e">
        <f>IF(X76,X87,IF(Z76,Z87,W83))</f>
        <v>#N/A</v>
      </c>
      <c r="AA83" s="86"/>
      <c r="AB83" s="86"/>
      <c r="AC83" s="86" t="e">
        <f>IF(AA76,AA87,IF(AC76,AC87,Z83))</f>
        <v>#N/A</v>
      </c>
      <c r="AD83" s="86"/>
      <c r="AE83" s="86"/>
      <c r="AF83" s="86" t="e">
        <f>IF(AD76,AD87,IF(AF76,AF87,AC83))</f>
        <v>#N/A</v>
      </c>
      <c r="AG83"/>
      <c r="AH83"/>
      <c r="AK83"/>
      <c r="AM83"/>
      <c r="AN83"/>
      <c r="AO83"/>
      <c r="AP83"/>
      <c r="AT83" s="81">
        <f>B83</f>
        <v>0</v>
      </c>
      <c r="AU83" s="81" t="e">
        <f>AF83</f>
        <v>#N/A</v>
      </c>
      <c r="AW83" s="85"/>
      <c r="BB83" s="85"/>
      <c r="BE83" s="85"/>
      <c r="BH83" s="85"/>
      <c r="BK83" s="85"/>
      <c r="BN83" s="85"/>
      <c r="BQ83" s="85"/>
      <c r="BT83" s="85"/>
      <c r="BW83" s="85"/>
      <c r="BZ83" s="85"/>
      <c r="CC83" s="85"/>
    </row>
    <row r="84" spans="1:81" s="81" customFormat="1" hidden="1" x14ac:dyDescent="0.25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/>
      <c r="AH84"/>
      <c r="AK84"/>
      <c r="AM84"/>
      <c r="AN84"/>
      <c r="AO84"/>
      <c r="AP84"/>
      <c r="AW84" s="85"/>
      <c r="BB84" s="85"/>
      <c r="BE84" s="85"/>
      <c r="BH84" s="85"/>
      <c r="BK84" s="85"/>
      <c r="BN84" s="85"/>
      <c r="BQ84" s="85"/>
      <c r="BT84" s="85"/>
      <c r="BW84" s="85"/>
      <c r="BZ84" s="85"/>
      <c r="CC84" s="85"/>
    </row>
    <row r="85" spans="1:81" s="81" customFormat="1" hidden="1" x14ac:dyDescent="0.25">
      <c r="A85" s="86" t="s">
        <v>88</v>
      </c>
      <c r="B85" s="86">
        <f>VLOOKUP(B24,$A79:$AF83,3,FALSE)</f>
        <v>1258.4581800415169</v>
      </c>
      <c r="C85" s="86">
        <v>1</v>
      </c>
      <c r="D85" s="86">
        <f>VLOOKUP(D24,$A79:$AF83,3,FALSE)</f>
        <v>1199.8765772221348</v>
      </c>
      <c r="E85" s="86">
        <f>VLOOKUP(E24,$A79:$AF83,4,FALSE)</f>
        <v>1246.5304984710244</v>
      </c>
      <c r="F85" s="86">
        <v>2</v>
      </c>
      <c r="G85" s="86">
        <f>VLOOKUP(G24,$A79:$AF83,4,FALSE)</f>
        <v>1214.5304984710244</v>
      </c>
      <c r="H85" s="86">
        <f>VLOOKUP(H24,$A79:$AF83,7,FALSE)</f>
        <v>1265.1219279810343</v>
      </c>
      <c r="I85" s="86">
        <v>3</v>
      </c>
      <c r="J85" s="86">
        <f>VLOOKUP(J24,$A79:$AF83,7,FALSE)</f>
        <v>1223.2652492355121</v>
      </c>
      <c r="K85" s="86"/>
      <c r="L85" s="86">
        <f>VLOOKUP(L24,$A79:$AF83,10,FALSE)</f>
        <v>1237.7957477065368</v>
      </c>
      <c r="M85" s="86">
        <v>4</v>
      </c>
      <c r="N85" s="86">
        <f>VLOOKUP(N24,$A79:$AF83,10,FALSE)</f>
        <v>1193.2128292826173</v>
      </c>
      <c r="O85" s="86">
        <f>VLOOKUP(O24,$A79:$AF83,14,FALSE)</f>
        <v>1202.233791334033</v>
      </c>
      <c r="P85" s="86">
        <v>5</v>
      </c>
      <c r="Q85" s="86">
        <f>VLOOKUP(Q24,$A79:$AF83,14,FALSE)</f>
        <v>1216.2243990636459</v>
      </c>
      <c r="R85" s="86">
        <f>VLOOKUP(R24,$A79:$AF83,17,FALSE)</f>
        <v>1228.7747856551211</v>
      </c>
      <c r="S85" s="86">
        <v>6</v>
      </c>
      <c r="T85" s="86">
        <f>VLOOKUP(T24,$A79:$AF83,17,FALSE)</f>
        <v>1272.1627781529005</v>
      </c>
      <c r="U85" s="86" t="e">
        <f>VLOOKUP(U24,$A79:$AF83,20,FALSE)</f>
        <v>#N/A</v>
      </c>
      <c r="V85" s="86">
        <v>7</v>
      </c>
      <c r="W85" s="86" t="e">
        <f>VLOOKUP(W24,$A79:$AF83,20,FALSE)</f>
        <v>#N/A</v>
      </c>
      <c r="X85" s="86" t="e">
        <f>VLOOKUP(X24,$A79:$AF83,23,FALSE)</f>
        <v>#N/A</v>
      </c>
      <c r="Y85" s="86">
        <v>8</v>
      </c>
      <c r="Z85" s="86" t="e">
        <f>VLOOKUP(Z24,$A79:$AF83,23,FALSE)</f>
        <v>#N/A</v>
      </c>
      <c r="AA85" s="86" t="e">
        <f>VLOOKUP(AA24,$A79:$AF83,26,FALSE)</f>
        <v>#N/A</v>
      </c>
      <c r="AB85" s="86">
        <v>9</v>
      </c>
      <c r="AC85" s="86" t="e">
        <f>VLOOKUP(AC24,$A79:$AF83,26,FALSE)</f>
        <v>#N/A</v>
      </c>
      <c r="AD85" s="86" t="e">
        <f>VLOOKUP(AD24,$A79:$AF83,29,FALSE)</f>
        <v>#N/A</v>
      </c>
      <c r="AE85" s="86">
        <v>10</v>
      </c>
      <c r="AF85" s="86" t="e">
        <f>VLOOKUP(AF24,$A79:$AF83,29,FALSE)</f>
        <v>#N/A</v>
      </c>
      <c r="AG85"/>
      <c r="AH85" s="79"/>
      <c r="AI85" s="79"/>
      <c r="AJ85" s="79"/>
      <c r="AK85" s="79"/>
      <c r="AL85" s="79"/>
      <c r="AM85" s="79"/>
      <c r="AN85" s="79"/>
      <c r="AO85" s="80"/>
      <c r="AP85" s="80"/>
      <c r="AQ85" s="80"/>
      <c r="AR85" s="80"/>
      <c r="AW85" s="85"/>
      <c r="BB85" s="85"/>
      <c r="BE85" s="85"/>
      <c r="BH85" s="85"/>
      <c r="BK85" s="85"/>
      <c r="BN85" s="85"/>
      <c r="BQ85" s="85"/>
      <c r="BT85" s="85"/>
      <c r="BW85" s="85"/>
      <c r="BZ85" s="85"/>
      <c r="CC85" s="85"/>
    </row>
    <row r="86" spans="1:81" s="91" customFormat="1" hidden="1" x14ac:dyDescent="0.25">
      <c r="A86" s="87" t="s">
        <v>89</v>
      </c>
      <c r="B86" s="87">
        <f>1/(1+(10^-((B85-D85)/400)))*(B36+D36)</f>
        <v>0.58351575378016141</v>
      </c>
      <c r="C86" s="87"/>
      <c r="D86" s="87">
        <f>1/(1+(10^-((D85-B85)/400)))*(B36+D36)</f>
        <v>0.41648424621983854</v>
      </c>
      <c r="E86" s="87">
        <f>1/(1+(10^-((E85-G85)/400)))*(E36+G36)</f>
        <v>0.54592192278048368</v>
      </c>
      <c r="F86" s="87"/>
      <c r="G86" s="87">
        <f>1/(1+(10^-((G85-E85)/400)))*(E36+G36)</f>
        <v>0.45407807721951632</v>
      </c>
      <c r="H86" s="87">
        <f>1/(1+(10^-((H85-J85)/400)))*(H36+J36)</f>
        <v>0.55994686425837059</v>
      </c>
      <c r="I86" s="87"/>
      <c r="J86" s="87">
        <f>1/(1+(10^-((J85-H85)/400)))*(H36+J36)</f>
        <v>0.44005313574162935</v>
      </c>
      <c r="K86" s="87"/>
      <c r="L86" s="87">
        <f>1/(1+(10^-((L85-N85)/400)))*(L36+N36)</f>
        <v>0.56381012821347809</v>
      </c>
      <c r="M86" s="87"/>
      <c r="N86" s="87">
        <f>1/(1+(10^-((N85-L85)/400)))*(L36+N36)</f>
        <v>0.43618987178652191</v>
      </c>
      <c r="O86" s="87">
        <f>1/(1+(10^-((O85-Q85)/400)))*(O36+Q36)</f>
        <v>0.47987677261929185</v>
      </c>
      <c r="P86" s="87"/>
      <c r="Q86" s="87">
        <f>1/(1+(10^-((Q85-O85)/400)))*(O36+Q36)</f>
        <v>0.52012322738070815</v>
      </c>
      <c r="R86" s="87">
        <f>1/(1+(10^-((R85-T85)/400)))*(R36+T36)</f>
        <v>0.43788223696741385</v>
      </c>
      <c r="S86" s="87"/>
      <c r="T86" s="87">
        <f>1/(1+(10^-((T85-R85)/400)))*(R36+T36)</f>
        <v>0.56211776303258609</v>
      </c>
      <c r="U86" s="87" t="e">
        <f>1/(1+(10^-((U85-W85)/400)))*(U36+W36)</f>
        <v>#N/A</v>
      </c>
      <c r="V86" s="87"/>
      <c r="W86" s="87" t="e">
        <f>1/(1+(10^-((W85-U85)/400)))*(U36+W36)</f>
        <v>#N/A</v>
      </c>
      <c r="X86" s="87" t="e">
        <f>1/(1+(10^-((X85-Z85)/400)))*(X36+Z36)</f>
        <v>#N/A</v>
      </c>
      <c r="Y86" s="87"/>
      <c r="Z86" s="87" t="e">
        <f>1/(1+(10^-((Z85-X85)/400)))*(X36+Z36)</f>
        <v>#N/A</v>
      </c>
      <c r="AA86" s="87" t="e">
        <f>1/(1+(10^-((AA85-AC85)/400)))*(AA36+AC36)</f>
        <v>#N/A</v>
      </c>
      <c r="AB86" s="87"/>
      <c r="AC86" s="87" t="e">
        <f>1/(1+(10^-((AC85-AA85)/400)))*(AA36+AC36)</f>
        <v>#N/A</v>
      </c>
      <c r="AD86" s="87" t="e">
        <f>1/(1+(10^-((AD85-AF85)/400)))*(AD36+AF36)</f>
        <v>#N/A</v>
      </c>
      <c r="AE86" s="87"/>
      <c r="AF86" s="87" t="e">
        <f>1/(1+(10^-((AF85-AD85)/400)))*(AD36+AF36)</f>
        <v>#N/A</v>
      </c>
      <c r="AG86" s="88"/>
      <c r="AH86" s="89"/>
      <c r="AI86" s="89"/>
      <c r="AJ86" s="89"/>
      <c r="AK86" s="89"/>
      <c r="AL86" s="89"/>
      <c r="AM86" s="89"/>
      <c r="AN86" s="89"/>
      <c r="AO86" s="90"/>
      <c r="AP86" s="90"/>
      <c r="AQ86" s="90"/>
      <c r="AR86" s="90"/>
      <c r="AW86" s="92"/>
      <c r="BB86" s="92"/>
      <c r="BE86" s="92"/>
      <c r="BH86" s="92"/>
      <c r="BK86" s="92"/>
      <c r="BN86" s="92"/>
      <c r="BQ86" s="92"/>
      <c r="BT86" s="92"/>
      <c r="BW86" s="92"/>
      <c r="BZ86" s="92"/>
      <c r="CC86" s="92"/>
    </row>
    <row r="87" spans="1:81" s="97" customFormat="1" hidden="1" x14ac:dyDescent="0.25">
      <c r="A87" s="93" t="s">
        <v>90</v>
      </c>
      <c r="B87" s="93">
        <f>B85+(B36-B86)*$BA$1</f>
        <v>1265.1219279810343</v>
      </c>
      <c r="C87" s="93"/>
      <c r="D87" s="93">
        <f>D85+(D36-D86)*$BA$1</f>
        <v>1193.2128292826173</v>
      </c>
      <c r="E87" s="93">
        <f>E85+(E36-E86)*$BA$1</f>
        <v>1237.7957477065368</v>
      </c>
      <c r="F87" s="93"/>
      <c r="G87" s="93">
        <f>G85+(G36-G86)*$BA$1</f>
        <v>1223.2652492355121</v>
      </c>
      <c r="H87" s="93">
        <f>H85+(H36-H86)*$BA$1</f>
        <v>1272.1627781529005</v>
      </c>
      <c r="I87" s="93"/>
      <c r="J87" s="93">
        <f>J85+(J36-J86)*$BA$1</f>
        <v>1216.2243990636459</v>
      </c>
      <c r="K87" s="93"/>
      <c r="L87" s="93">
        <f>L85+(L36-L86)*$BA$1</f>
        <v>1228.7747856551211</v>
      </c>
      <c r="M87" s="93"/>
      <c r="N87" s="93">
        <f>N85+(N36-N86)*$BA$1</f>
        <v>1202.233791334033</v>
      </c>
      <c r="O87" s="93">
        <f>O85+(O36-O86)*$BA$1</f>
        <v>1194.5557629721243</v>
      </c>
      <c r="P87" s="93"/>
      <c r="Q87" s="93">
        <f>Q85+(Q36-Q86)*$BA$1</f>
        <v>1223.9024274255546</v>
      </c>
      <c r="R87" s="93">
        <f>R85+(R36-R86)*$BA$1</f>
        <v>1221.7686698636426</v>
      </c>
      <c r="S87" s="93"/>
      <c r="T87" s="93">
        <f>T85+(T36-T86)*$BA$1</f>
        <v>1279.1688939443791</v>
      </c>
      <c r="U87" s="93" t="e">
        <f>U85+(U36-U86)*$BA$1</f>
        <v>#N/A</v>
      </c>
      <c r="V87" s="93"/>
      <c r="W87" s="93" t="e">
        <f>W85+(W36-W86)*$BA$1</f>
        <v>#N/A</v>
      </c>
      <c r="X87" s="93" t="e">
        <f>X85+(X36-X86)*$BA$1</f>
        <v>#N/A</v>
      </c>
      <c r="Y87" s="93"/>
      <c r="Z87" s="93" t="e">
        <f>Z85+(Z36-Z86)*$BA$1</f>
        <v>#N/A</v>
      </c>
      <c r="AA87" s="93" t="e">
        <f>AA85+(AA36-AA86)*$BA$1</f>
        <v>#N/A</v>
      </c>
      <c r="AB87" s="93"/>
      <c r="AC87" s="93" t="e">
        <f>AC85+(AC36-AC86)*$BA$1</f>
        <v>#N/A</v>
      </c>
      <c r="AD87" s="93" t="e">
        <f>AD85+(AD36-AD86)*$BA$1</f>
        <v>#N/A</v>
      </c>
      <c r="AE87" s="93"/>
      <c r="AF87" s="93" t="e">
        <f>AF85+(AF36-AF86)*$BA$1</f>
        <v>#N/A</v>
      </c>
      <c r="AG87" s="94"/>
      <c r="AH87" s="95"/>
      <c r="AI87" s="95"/>
      <c r="AJ87" s="95"/>
      <c r="AK87" s="95"/>
      <c r="AL87" s="95"/>
      <c r="AM87" s="95"/>
      <c r="AN87" s="95"/>
      <c r="AO87" s="96"/>
      <c r="AP87" s="96"/>
      <c r="AQ87" s="96"/>
      <c r="AR87" s="96"/>
      <c r="AW87" s="98"/>
      <c r="BB87" s="98"/>
      <c r="BE87" s="98"/>
      <c r="BH87" s="98"/>
      <c r="BK87" s="98"/>
      <c r="BN87" s="98"/>
      <c r="BQ87" s="98"/>
      <c r="BT87" s="98"/>
      <c r="BW87" s="98"/>
      <c r="BZ87" s="98"/>
      <c r="CC87" s="98"/>
    </row>
    <row r="88" spans="1:81" s="97" customFormat="1" hidden="1" x14ac:dyDescent="0.2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4"/>
      <c r="AH88" s="95"/>
      <c r="AI88" s="95"/>
      <c r="AJ88" s="95"/>
      <c r="AK88" s="95"/>
      <c r="AL88" s="95"/>
      <c r="AM88" s="95"/>
      <c r="AN88" s="95"/>
      <c r="AO88" s="96"/>
      <c r="AP88" s="96"/>
      <c r="AQ88" s="96"/>
      <c r="AR88" s="96"/>
      <c r="AW88" s="98"/>
      <c r="BB88" s="98"/>
      <c r="BE88" s="98"/>
      <c r="BH88" s="98"/>
      <c r="BK88" s="98"/>
      <c r="BN88" s="98"/>
      <c r="BQ88" s="98"/>
      <c r="BT88" s="98"/>
      <c r="BW88" s="98"/>
      <c r="BZ88" s="98"/>
      <c r="CC88" s="98"/>
    </row>
    <row r="89" spans="1:81" s="81" customFormat="1" x14ac:dyDescent="0.25">
      <c r="A89" s="308" t="str">
        <f>IF($AL10=1,"Pool Tiereaker : 1) Matches Won vs Lost (if 3 way tie then #4)  2) Head to Head  3) Game Win %  4) Total Pool Net Points  5) Flip a Coin","Pool Tiebreaker : 1) Games Won vs Lost (if 3 way tie then #5)  2) Head to Head  3) Head to Head Net Points  4) Game Win %  5) Total Pool Net Points  6) Flip a Coin")</f>
        <v>Pool Tiereaker : 1) Matches Won vs Lost (if 3 way tie then #4)  2) Head to Head  3) Game Win %  4) Total Pool Net Points  5) Flip a Coin</v>
      </c>
      <c r="B89" s="308"/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9"/>
      <c r="AO89" s="309"/>
      <c r="AP89" s="309"/>
      <c r="AQ89" s="309"/>
    </row>
    <row r="90" spans="1:81" s="81" customFormat="1" ht="13.8" thickBot="1" x14ac:dyDescent="0.3">
      <c r="A90" s="310"/>
      <c r="B90" s="310"/>
      <c r="C90" s="310"/>
      <c r="D90" s="310"/>
      <c r="E90" s="310"/>
      <c r="F90" s="310"/>
      <c r="G90" s="310"/>
      <c r="H90" s="310"/>
      <c r="I90" s="310"/>
      <c r="J90" s="310"/>
      <c r="K90" s="310"/>
      <c r="L90" s="310"/>
      <c r="M90" s="310"/>
      <c r="N90" s="310"/>
      <c r="O90" s="310"/>
      <c r="P90" s="310"/>
      <c r="Q90" s="310"/>
      <c r="R90" s="310"/>
      <c r="S90" s="310"/>
      <c r="T90" s="310"/>
      <c r="U90" s="310"/>
      <c r="V90" s="310"/>
      <c r="W90" s="310"/>
      <c r="X90" s="310"/>
      <c r="Y90" s="310"/>
      <c r="Z90" s="310"/>
      <c r="AA90" s="310"/>
      <c r="AB90" s="310"/>
      <c r="AC90" s="310"/>
      <c r="AD90" s="310"/>
      <c r="AE90" s="310"/>
      <c r="AF90" s="310"/>
      <c r="AG90" s="310"/>
      <c r="AH90" s="310"/>
      <c r="AI90" s="310"/>
      <c r="AJ90" s="310"/>
      <c r="AK90" s="310"/>
      <c r="AL90" s="310"/>
      <c r="AM90" s="310"/>
      <c r="AN90" s="310"/>
      <c r="AO90" s="310"/>
      <c r="AP90" s="310"/>
      <c r="AQ90" s="310"/>
      <c r="AR90" s="310"/>
    </row>
    <row r="91" spans="1:81" ht="24" customHeight="1" thickBot="1" x14ac:dyDescent="0.3">
      <c r="A91" s="33" t="s">
        <v>22</v>
      </c>
      <c r="B91" s="34" t="s">
        <v>91</v>
      </c>
      <c r="C91" s="211" t="s">
        <v>24</v>
      </c>
      <c r="D91" s="212"/>
      <c r="E91" s="212"/>
      <c r="F91" s="212"/>
      <c r="G91" s="212"/>
      <c r="H91" s="213"/>
      <c r="I91" s="214">
        <v>2</v>
      </c>
      <c r="J91" s="215"/>
      <c r="K91" s="216" t="str">
        <f>"Pool "&amp;B91&amp;" - Round 1 - Court "&amp;I91</f>
        <v>Pool B - Round 1 - Court 2</v>
      </c>
      <c r="L91" s="217"/>
      <c r="M91" s="217"/>
      <c r="N91" s="217"/>
      <c r="O91" s="217"/>
      <c r="P91" s="217"/>
      <c r="Q91" s="217"/>
      <c r="R91" s="217"/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17"/>
      <c r="AG91" s="217"/>
      <c r="AH91" s="217"/>
      <c r="AI91" s="217"/>
      <c r="AJ91" s="218"/>
      <c r="AK91" s="11"/>
      <c r="AL91" s="11"/>
      <c r="AM91" s="11"/>
      <c r="AN91" s="11"/>
      <c r="AO91" s="11"/>
      <c r="AP91" s="11"/>
      <c r="AQ91" s="11"/>
      <c r="AR91" s="11"/>
    </row>
    <row r="92" spans="1:81" ht="27" customHeight="1" thickBot="1" x14ac:dyDescent="0.3">
      <c r="A92" s="35" t="s">
        <v>25</v>
      </c>
      <c r="B92" s="183" t="s">
        <v>8</v>
      </c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183" t="str">
        <f>IF($AL95=0,"Games Won","Matches Won")</f>
        <v>Matches Won</v>
      </c>
      <c r="N92" s="219"/>
      <c r="O92" s="219"/>
      <c r="P92" s="219"/>
      <c r="Q92" s="219"/>
      <c r="R92" s="220"/>
      <c r="S92" s="183" t="str">
        <f>IF($AL95=0,"Games Lost","Matches Lost")</f>
        <v>Matches Lost</v>
      </c>
      <c r="T92" s="221"/>
      <c r="U92" s="221"/>
      <c r="V92" s="221"/>
      <c r="W92" s="222"/>
      <c r="X92" s="223" t="s">
        <v>26</v>
      </c>
      <c r="Y92" s="224"/>
      <c r="Z92" s="225"/>
      <c r="AA92" s="223" t="s">
        <v>27</v>
      </c>
      <c r="AB92" s="224"/>
      <c r="AC92" s="225"/>
      <c r="AD92" s="226" t="s">
        <v>28</v>
      </c>
      <c r="AE92" s="227"/>
      <c r="AF92" s="228"/>
      <c r="AG92" s="36" t="s">
        <v>29</v>
      </c>
      <c r="AH92" s="37" t="s">
        <v>7</v>
      </c>
      <c r="AI92" s="229" t="s">
        <v>30</v>
      </c>
      <c r="AJ92" s="230"/>
      <c r="AK92" s="38"/>
      <c r="AL92" s="39">
        <v>1</v>
      </c>
      <c r="AM92" s="40" t="s">
        <v>31</v>
      </c>
      <c r="AN92" s="40"/>
      <c r="AO92" s="40"/>
      <c r="AP92" s="40"/>
      <c r="AQ92" s="40"/>
      <c r="AR92" s="40"/>
      <c r="AS92" s="41"/>
    </row>
    <row r="93" spans="1:81" ht="18.75" customHeight="1" x14ac:dyDescent="0.25">
      <c r="A93" s="231" t="str">
        <f>IF($AL94&gt;0,"1","")</f>
        <v>1</v>
      </c>
      <c r="B93" s="233" t="s">
        <v>8</v>
      </c>
      <c r="C93" s="234"/>
      <c r="D93" s="235"/>
      <c r="E93" s="236" t="str">
        <f>AU4</f>
        <v>Foothills Vanessa</v>
      </c>
      <c r="F93" s="237"/>
      <c r="G93" s="237"/>
      <c r="H93" s="237"/>
      <c r="I93" s="237"/>
      <c r="J93" s="237"/>
      <c r="K93" s="237"/>
      <c r="L93" s="238"/>
      <c r="M93" s="239">
        <f>IF($AL95=0,AG149,AG131)</f>
        <v>1</v>
      </c>
      <c r="N93" s="240"/>
      <c r="O93" s="240"/>
      <c r="P93" s="240"/>
      <c r="Q93" s="240"/>
      <c r="R93" s="220"/>
      <c r="S93" s="239">
        <f>IF($AL95=0,AH149,AH131)</f>
        <v>3</v>
      </c>
      <c r="T93" s="240"/>
      <c r="U93" s="240"/>
      <c r="V93" s="240"/>
      <c r="W93" s="240"/>
      <c r="X93" s="239">
        <f>AR109</f>
        <v>-4</v>
      </c>
      <c r="Y93" s="240"/>
      <c r="Z93" s="240"/>
      <c r="AA93" s="243">
        <f>IF(AG143&gt;0,(AR109/AG143),0)</f>
        <v>-3.125E-2</v>
      </c>
      <c r="AB93" s="244"/>
      <c r="AC93" s="244"/>
      <c r="AD93" s="247">
        <f>IF(AG157=0,0,(AG149/AG157))</f>
        <v>0.25</v>
      </c>
      <c r="AE93" s="248"/>
      <c r="AF93" s="249"/>
      <c r="AG93" s="253">
        <v>2</v>
      </c>
      <c r="AH93" s="253">
        <v>4</v>
      </c>
      <c r="AI93" s="255"/>
      <c r="AJ93" s="256"/>
      <c r="AK93" s="38"/>
      <c r="AL93" s="39">
        <v>6</v>
      </c>
      <c r="AM93" s="40" t="s">
        <v>32</v>
      </c>
      <c r="AN93" s="40"/>
      <c r="AO93" s="40"/>
      <c r="AP93" s="40"/>
      <c r="AQ93" s="40"/>
      <c r="AR93" s="40"/>
      <c r="AS93" s="41"/>
    </row>
    <row r="94" spans="1:81" ht="18.75" customHeight="1" thickBot="1" x14ac:dyDescent="0.3">
      <c r="A94" s="232"/>
      <c r="B94" s="263" t="s">
        <v>9</v>
      </c>
      <c r="C94" s="264"/>
      <c r="D94" s="265"/>
      <c r="E94" s="261" t="str">
        <f>AV4</f>
        <v>fj2footh2pm</v>
      </c>
      <c r="F94" s="262"/>
      <c r="G94" s="262"/>
      <c r="H94" s="262"/>
      <c r="I94" s="262"/>
      <c r="J94" s="262"/>
      <c r="K94" s="262"/>
      <c r="L94" s="262"/>
      <c r="M94" s="241"/>
      <c r="N94" s="242"/>
      <c r="O94" s="242"/>
      <c r="P94" s="242"/>
      <c r="Q94" s="242"/>
      <c r="R94" s="220"/>
      <c r="S94" s="241"/>
      <c r="T94" s="242"/>
      <c r="U94" s="242"/>
      <c r="V94" s="242"/>
      <c r="W94" s="242"/>
      <c r="X94" s="241"/>
      <c r="Y94" s="242"/>
      <c r="Z94" s="242"/>
      <c r="AA94" s="245"/>
      <c r="AB94" s="246"/>
      <c r="AC94" s="246"/>
      <c r="AD94" s="250"/>
      <c r="AE94" s="251"/>
      <c r="AF94" s="252"/>
      <c r="AG94" s="254"/>
      <c r="AH94" s="254"/>
      <c r="AI94" s="257"/>
      <c r="AJ94" s="258"/>
      <c r="AK94" s="38"/>
      <c r="AL94" s="39">
        <v>3</v>
      </c>
      <c r="AM94" s="40" t="s">
        <v>33</v>
      </c>
      <c r="AN94" s="38"/>
      <c r="AO94" s="38"/>
      <c r="AP94" s="38"/>
      <c r="AQ94" s="38"/>
      <c r="AR94" s="38"/>
      <c r="AS94" s="3"/>
    </row>
    <row r="95" spans="1:81" ht="18.75" customHeight="1" x14ac:dyDescent="0.25">
      <c r="A95" s="231" t="str">
        <f>IF($AL94&gt;1,"2","")</f>
        <v>2</v>
      </c>
      <c r="B95" s="233" t="s">
        <v>8</v>
      </c>
      <c r="C95" s="234"/>
      <c r="D95" s="235"/>
      <c r="E95" s="236" t="str">
        <f>AU5</f>
        <v>C1VB Juniors Grey</v>
      </c>
      <c r="F95" s="237"/>
      <c r="G95" s="237"/>
      <c r="H95" s="237"/>
      <c r="I95" s="237"/>
      <c r="J95" s="237"/>
      <c r="K95" s="237"/>
      <c r="L95" s="238"/>
      <c r="M95" s="239">
        <f>IF($AL95=0,AG150,AG132)</f>
        <v>1</v>
      </c>
      <c r="N95" s="240"/>
      <c r="O95" s="240"/>
      <c r="P95" s="240"/>
      <c r="Q95" s="240"/>
      <c r="R95" s="220"/>
      <c r="S95" s="239">
        <f>IF($AL95=0,AH150,AH132)</f>
        <v>3</v>
      </c>
      <c r="T95" s="240"/>
      <c r="U95" s="240"/>
      <c r="V95" s="240"/>
      <c r="W95" s="240"/>
      <c r="X95" s="239">
        <f>AR110</f>
        <v>-15</v>
      </c>
      <c r="Y95" s="240"/>
      <c r="Z95" s="240"/>
      <c r="AA95" s="243">
        <f>IF(AG144&gt;0,(AR110/AG144),0)</f>
        <v>-0.12096774193548387</v>
      </c>
      <c r="AB95" s="244"/>
      <c r="AC95" s="244"/>
      <c r="AD95" s="247">
        <f>IF(AG158=0,0,(AG150/AG158))</f>
        <v>0.25</v>
      </c>
      <c r="AE95" s="248"/>
      <c r="AF95" s="249"/>
      <c r="AG95" s="253">
        <v>3</v>
      </c>
      <c r="AH95" s="253">
        <v>4</v>
      </c>
      <c r="AI95" s="255"/>
      <c r="AJ95" s="256"/>
      <c r="AK95" s="38"/>
      <c r="AL95" s="39">
        <v>1</v>
      </c>
      <c r="AM95" s="40" t="s">
        <v>34</v>
      </c>
      <c r="AN95" s="40"/>
      <c r="AO95" s="40"/>
      <c r="AP95" s="40"/>
      <c r="AQ95" s="40"/>
      <c r="AR95" s="40"/>
      <c r="AS95" s="41"/>
    </row>
    <row r="96" spans="1:81" ht="18.75" customHeight="1" thickBot="1" x14ac:dyDescent="0.3">
      <c r="A96" s="232"/>
      <c r="B96" s="259" t="s">
        <v>9</v>
      </c>
      <c r="C96" s="260"/>
      <c r="D96" s="260"/>
      <c r="E96" s="261" t="str">
        <f>AV5</f>
        <v>fj2crone8pm</v>
      </c>
      <c r="F96" s="262"/>
      <c r="G96" s="262"/>
      <c r="H96" s="262"/>
      <c r="I96" s="262"/>
      <c r="J96" s="262"/>
      <c r="K96" s="262"/>
      <c r="L96" s="262"/>
      <c r="M96" s="241"/>
      <c r="N96" s="242"/>
      <c r="O96" s="242"/>
      <c r="P96" s="242"/>
      <c r="Q96" s="242"/>
      <c r="R96" s="220"/>
      <c r="S96" s="241"/>
      <c r="T96" s="242"/>
      <c r="U96" s="242"/>
      <c r="V96" s="242"/>
      <c r="W96" s="242"/>
      <c r="X96" s="241"/>
      <c r="Y96" s="242"/>
      <c r="Z96" s="242"/>
      <c r="AA96" s="245"/>
      <c r="AB96" s="246"/>
      <c r="AC96" s="246"/>
      <c r="AD96" s="250"/>
      <c r="AE96" s="251"/>
      <c r="AF96" s="252"/>
      <c r="AG96" s="254"/>
      <c r="AH96" s="254"/>
      <c r="AI96" s="257"/>
      <c r="AJ96" s="258"/>
      <c r="AK96" s="38"/>
      <c r="AL96" s="39">
        <v>1</v>
      </c>
      <c r="AM96" s="40" t="s">
        <v>35</v>
      </c>
      <c r="AN96" s="38"/>
      <c r="AO96" s="38"/>
      <c r="AP96" s="38"/>
      <c r="AQ96" s="38"/>
      <c r="AR96" s="38"/>
      <c r="AS96" s="3"/>
    </row>
    <row r="97" spans="1:45" ht="18.75" customHeight="1" x14ac:dyDescent="0.25">
      <c r="A97" s="231" t="str">
        <f>IF($AL94&gt;2,"3","")</f>
        <v>3</v>
      </c>
      <c r="B97" s="266" t="s">
        <v>8</v>
      </c>
      <c r="C97" s="267"/>
      <c r="D97" s="267"/>
      <c r="E97" s="236" t="str">
        <f>AU8</f>
        <v>MOTO 12'1</v>
      </c>
      <c r="F97" s="237"/>
      <c r="G97" s="237"/>
      <c r="H97" s="237"/>
      <c r="I97" s="237"/>
      <c r="J97" s="237"/>
      <c r="K97" s="237"/>
      <c r="L97" s="238"/>
      <c r="M97" s="239">
        <f>IF($AL95=0,AG151,AG133)</f>
        <v>4</v>
      </c>
      <c r="N97" s="240"/>
      <c r="O97" s="240"/>
      <c r="P97" s="240"/>
      <c r="Q97" s="240"/>
      <c r="R97" s="220"/>
      <c r="S97" s="239">
        <f>IF($AL95=0,AH151,AH133)</f>
        <v>0</v>
      </c>
      <c r="T97" s="240"/>
      <c r="U97" s="240"/>
      <c r="V97" s="240"/>
      <c r="W97" s="240"/>
      <c r="X97" s="239">
        <f>AR111</f>
        <v>19</v>
      </c>
      <c r="Y97" s="240"/>
      <c r="Z97" s="240"/>
      <c r="AA97" s="243">
        <f>IF(AG145&gt;0,(AR111/AG145),0)</f>
        <v>0.16379310344827586</v>
      </c>
      <c r="AB97" s="244"/>
      <c r="AC97" s="244"/>
      <c r="AD97" s="247">
        <f>IF(AG159=0,0,(AG151/AG159))</f>
        <v>1</v>
      </c>
      <c r="AE97" s="248"/>
      <c r="AF97" s="249"/>
      <c r="AG97" s="253">
        <v>1</v>
      </c>
      <c r="AH97" s="253">
        <v>1</v>
      </c>
      <c r="AI97" s="255"/>
      <c r="AJ97" s="256"/>
      <c r="AK97" s="48"/>
      <c r="AL97" s="39">
        <v>4</v>
      </c>
      <c r="AM97" s="49" t="s">
        <v>36</v>
      </c>
      <c r="AN97" s="40"/>
      <c r="AO97" s="40"/>
      <c r="AP97" s="40"/>
      <c r="AQ97" s="40"/>
      <c r="AR97" s="40"/>
      <c r="AS97" s="41"/>
    </row>
    <row r="98" spans="1:45" ht="18.75" customHeight="1" thickBot="1" x14ac:dyDescent="0.3">
      <c r="A98" s="232"/>
      <c r="B98" s="259" t="s">
        <v>9</v>
      </c>
      <c r="C98" s="260"/>
      <c r="D98" s="260"/>
      <c r="E98" s="261" t="str">
        <f>AV8</f>
        <v>fj1motoj1pm</v>
      </c>
      <c r="F98" s="262"/>
      <c r="G98" s="262"/>
      <c r="H98" s="262"/>
      <c r="I98" s="262"/>
      <c r="J98" s="262"/>
      <c r="K98" s="262"/>
      <c r="L98" s="262"/>
      <c r="M98" s="241"/>
      <c r="N98" s="242"/>
      <c r="O98" s="242"/>
      <c r="P98" s="242"/>
      <c r="Q98" s="242"/>
      <c r="R98" s="220"/>
      <c r="S98" s="241"/>
      <c r="T98" s="242"/>
      <c r="U98" s="242"/>
      <c r="V98" s="242"/>
      <c r="W98" s="242"/>
      <c r="X98" s="241"/>
      <c r="Y98" s="242"/>
      <c r="Z98" s="242"/>
      <c r="AA98" s="245"/>
      <c r="AB98" s="246"/>
      <c r="AC98" s="246"/>
      <c r="AD98" s="250"/>
      <c r="AE98" s="251"/>
      <c r="AF98" s="252"/>
      <c r="AG98" s="254"/>
      <c r="AH98" s="254"/>
      <c r="AI98" s="257"/>
      <c r="AJ98" s="258"/>
      <c r="AK98" s="48"/>
      <c r="AL98" s="56"/>
      <c r="AM98" s="57"/>
      <c r="AN98" s="57"/>
      <c r="AO98" s="57"/>
      <c r="AP98" s="57"/>
      <c r="AQ98" s="57"/>
      <c r="AR98" s="38"/>
      <c r="AS98" s="3"/>
    </row>
    <row r="99" spans="1:45" ht="18.75" customHeight="1" x14ac:dyDescent="0.25">
      <c r="A99" s="231" t="str">
        <f>IF($AL94&gt;3,"4","")</f>
        <v/>
      </c>
      <c r="B99" s="266" t="s">
        <v>8</v>
      </c>
      <c r="C99" s="267"/>
      <c r="D99" s="267"/>
      <c r="E99" s="236">
        <f>AU10</f>
        <v>0</v>
      </c>
      <c r="F99" s="237"/>
      <c r="G99" s="237"/>
      <c r="H99" s="237"/>
      <c r="I99" s="237"/>
      <c r="J99" s="237"/>
      <c r="K99" s="237"/>
      <c r="L99" s="238"/>
      <c r="M99" s="239">
        <f>IF($AL95=0,AG152,AG134)</f>
        <v>0</v>
      </c>
      <c r="N99" s="240"/>
      <c r="O99" s="240"/>
      <c r="P99" s="240"/>
      <c r="Q99" s="240"/>
      <c r="R99" s="220"/>
      <c r="S99" s="239">
        <f>IF($AL95=0,AH152,AH134)</f>
        <v>0</v>
      </c>
      <c r="T99" s="240"/>
      <c r="U99" s="240"/>
      <c r="V99" s="240"/>
      <c r="W99" s="240"/>
      <c r="X99" s="239">
        <f>AR112</f>
        <v>0</v>
      </c>
      <c r="Y99" s="240"/>
      <c r="Z99" s="240"/>
      <c r="AA99" s="243">
        <f>IF(AG146&gt;0,(AR112/AG146),0)</f>
        <v>0</v>
      </c>
      <c r="AB99" s="244"/>
      <c r="AC99" s="244"/>
      <c r="AD99" s="247">
        <f>IF(AG160=0,0,(AG152/AG160))</f>
        <v>0</v>
      </c>
      <c r="AE99" s="248"/>
      <c r="AF99" s="249"/>
      <c r="AG99" s="253"/>
      <c r="AH99" s="253"/>
      <c r="AI99" s="255"/>
      <c r="AJ99" s="256"/>
      <c r="AK99" s="11"/>
      <c r="AL99" s="57"/>
      <c r="AM99" s="57"/>
      <c r="AN99" s="57"/>
      <c r="AO99" s="57"/>
      <c r="AP99" s="57"/>
      <c r="AQ99" s="57"/>
      <c r="AR99" s="40"/>
      <c r="AS99" s="41"/>
    </row>
    <row r="100" spans="1:45" ht="18.75" customHeight="1" thickBot="1" x14ac:dyDescent="0.3">
      <c r="A100" s="232"/>
      <c r="B100" s="259" t="s">
        <v>9</v>
      </c>
      <c r="C100" s="260"/>
      <c r="D100" s="260"/>
      <c r="E100" s="261">
        <f>AV10</f>
        <v>0</v>
      </c>
      <c r="F100" s="262"/>
      <c r="G100" s="262"/>
      <c r="H100" s="262"/>
      <c r="I100" s="262"/>
      <c r="J100" s="262"/>
      <c r="K100" s="262"/>
      <c r="L100" s="262"/>
      <c r="M100" s="241"/>
      <c r="N100" s="242"/>
      <c r="O100" s="242"/>
      <c r="P100" s="242"/>
      <c r="Q100" s="242"/>
      <c r="R100" s="220"/>
      <c r="S100" s="241"/>
      <c r="T100" s="242"/>
      <c r="U100" s="242"/>
      <c r="V100" s="242"/>
      <c r="W100" s="242"/>
      <c r="X100" s="241"/>
      <c r="Y100" s="242"/>
      <c r="Z100" s="242"/>
      <c r="AA100" s="245"/>
      <c r="AB100" s="246"/>
      <c r="AC100" s="246"/>
      <c r="AD100" s="250"/>
      <c r="AE100" s="251"/>
      <c r="AF100" s="252"/>
      <c r="AG100" s="254"/>
      <c r="AH100" s="254"/>
      <c r="AI100" s="257"/>
      <c r="AJ100" s="258"/>
      <c r="AK100" s="11"/>
      <c r="AL100" s="57"/>
      <c r="AM100" s="57"/>
      <c r="AN100" s="57"/>
      <c r="AO100" s="57"/>
      <c r="AP100" s="57"/>
      <c r="AQ100" s="57"/>
      <c r="AR100" s="11"/>
      <c r="AS100" s="3"/>
    </row>
    <row r="101" spans="1:45" ht="18.75" customHeight="1" x14ac:dyDescent="0.25">
      <c r="A101" s="231" t="str">
        <f>IF($AL94&gt;4,"5","")</f>
        <v/>
      </c>
      <c r="B101" s="266" t="s">
        <v>8</v>
      </c>
      <c r="C101" s="267"/>
      <c r="D101" s="267"/>
      <c r="E101" s="236">
        <f>AU12</f>
        <v>0</v>
      </c>
      <c r="F101" s="237"/>
      <c r="G101" s="237"/>
      <c r="H101" s="237"/>
      <c r="I101" s="237"/>
      <c r="J101" s="237"/>
      <c r="K101" s="237"/>
      <c r="L101" s="238"/>
      <c r="M101" s="239">
        <f>IF($AL95=0,AG153,AG135)</f>
        <v>0</v>
      </c>
      <c r="N101" s="240"/>
      <c r="O101" s="240"/>
      <c r="P101" s="240"/>
      <c r="Q101" s="240"/>
      <c r="R101" s="220"/>
      <c r="S101" s="239">
        <f>IF($AL95=0,AH153,AH135)</f>
        <v>0</v>
      </c>
      <c r="T101" s="240"/>
      <c r="U101" s="240"/>
      <c r="V101" s="240"/>
      <c r="W101" s="240"/>
      <c r="X101" s="239">
        <f>AR113</f>
        <v>0</v>
      </c>
      <c r="Y101" s="240"/>
      <c r="Z101" s="240"/>
      <c r="AA101" s="243">
        <f>IF(AG147&gt;0,(AR113/AG147),0)</f>
        <v>0</v>
      </c>
      <c r="AB101" s="244"/>
      <c r="AC101" s="244"/>
      <c r="AD101" s="247">
        <f>IF(AG161=0,0,(AG153/AG161))</f>
        <v>0</v>
      </c>
      <c r="AE101" s="248"/>
      <c r="AF101" s="249"/>
      <c r="AG101" s="253"/>
      <c r="AH101" s="253"/>
      <c r="AI101" s="255"/>
      <c r="AJ101" s="256"/>
      <c r="AK101" s="11"/>
      <c r="AL101" s="57"/>
      <c r="AM101" s="57"/>
      <c r="AN101" s="57"/>
      <c r="AO101" s="57"/>
      <c r="AP101" s="57"/>
      <c r="AQ101" s="57"/>
      <c r="AR101" s="11"/>
      <c r="AS101" s="3"/>
    </row>
    <row r="102" spans="1:45" ht="18.75" customHeight="1" thickBot="1" x14ac:dyDescent="0.3">
      <c r="A102" s="232"/>
      <c r="B102" s="277" t="s">
        <v>9</v>
      </c>
      <c r="C102" s="278"/>
      <c r="D102" s="278"/>
      <c r="E102" s="279">
        <f>AV12</f>
        <v>0</v>
      </c>
      <c r="F102" s="280"/>
      <c r="G102" s="280"/>
      <c r="H102" s="280"/>
      <c r="I102" s="280"/>
      <c r="J102" s="280"/>
      <c r="K102" s="280"/>
      <c r="L102" s="280"/>
      <c r="M102" s="268"/>
      <c r="N102" s="269"/>
      <c r="O102" s="269"/>
      <c r="P102" s="269"/>
      <c r="Q102" s="269"/>
      <c r="R102" s="220"/>
      <c r="S102" s="241"/>
      <c r="T102" s="242"/>
      <c r="U102" s="242"/>
      <c r="V102" s="242"/>
      <c r="W102" s="242"/>
      <c r="X102" s="241"/>
      <c r="Y102" s="242"/>
      <c r="Z102" s="242"/>
      <c r="AA102" s="245"/>
      <c r="AB102" s="246"/>
      <c r="AC102" s="246"/>
      <c r="AD102" s="250"/>
      <c r="AE102" s="251"/>
      <c r="AF102" s="252"/>
      <c r="AG102" s="254"/>
      <c r="AH102" s="276"/>
      <c r="AI102" s="257"/>
      <c r="AJ102" s="258"/>
      <c r="AK102" s="11"/>
      <c r="AL102" s="57"/>
      <c r="AM102" s="57"/>
      <c r="AN102" s="57"/>
      <c r="AO102" s="57"/>
      <c r="AP102" s="57"/>
      <c r="AQ102" s="57"/>
      <c r="AR102" s="11"/>
      <c r="AS102" s="3"/>
    </row>
    <row r="103" spans="1:45" ht="21" customHeight="1" thickTop="1" thickBot="1" x14ac:dyDescent="0.3">
      <c r="A103" s="59"/>
      <c r="B103" s="281" t="s">
        <v>38</v>
      </c>
      <c r="C103" s="282"/>
      <c r="D103" s="282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  <c r="W103" s="282"/>
      <c r="X103" s="282"/>
      <c r="Y103" s="282"/>
      <c r="Z103" s="282"/>
      <c r="AA103" s="282"/>
      <c r="AB103" s="282"/>
      <c r="AC103" s="282"/>
      <c r="AD103" s="282"/>
      <c r="AE103" s="282"/>
      <c r="AF103" s="282"/>
      <c r="AG103" s="282"/>
      <c r="AH103" s="282"/>
      <c r="AI103" s="282"/>
      <c r="AJ103" s="283"/>
      <c r="AK103" s="11"/>
      <c r="AL103" s="57"/>
      <c r="AM103" s="57"/>
      <c r="AN103" s="57"/>
      <c r="AO103" s="57"/>
      <c r="AP103" s="57"/>
      <c r="AQ103" s="57"/>
      <c r="AR103" s="11"/>
      <c r="AS103" s="3"/>
    </row>
    <row r="104" spans="1:45" ht="13.5" customHeight="1" thickTop="1" x14ac:dyDescent="0.25">
      <c r="A104" t="s">
        <v>39</v>
      </c>
      <c r="B104" s="284">
        <v>0.35416666666666669</v>
      </c>
      <c r="C104" s="285"/>
      <c r="D104" s="286"/>
      <c r="E104" s="284">
        <v>0.39583333333333331</v>
      </c>
      <c r="F104" s="285"/>
      <c r="G104" s="286"/>
      <c r="H104" s="284">
        <v>0.4375</v>
      </c>
      <c r="I104" s="285"/>
      <c r="J104" s="286"/>
      <c r="K104" s="311" t="s">
        <v>92</v>
      </c>
      <c r="L104" s="284">
        <v>0.5</v>
      </c>
      <c r="M104" s="285"/>
      <c r="N104" s="286"/>
      <c r="O104" s="284">
        <v>4.1666666666666664E-2</v>
      </c>
      <c r="P104" s="285"/>
      <c r="Q104" s="286"/>
      <c r="R104" s="284">
        <v>8.3333333333333329E-2</v>
      </c>
      <c r="S104" s="285"/>
      <c r="T104" s="286"/>
      <c r="U104" s="284">
        <v>4.1666666666666664E-2</v>
      </c>
      <c r="V104" s="285"/>
      <c r="W104" s="286"/>
      <c r="X104" s="284">
        <v>7.2916666666666671E-2</v>
      </c>
      <c r="Y104" s="285"/>
      <c r="Z104" s="286"/>
      <c r="AA104" s="284">
        <v>0.10416666666666667</v>
      </c>
      <c r="AB104" s="285"/>
      <c r="AC104" s="286"/>
      <c r="AD104" s="284">
        <v>0.13541666666666666</v>
      </c>
      <c r="AE104" s="285"/>
      <c r="AF104" s="286"/>
      <c r="AG104" s="290" t="s">
        <v>40</v>
      </c>
      <c r="AH104" s="291"/>
      <c r="AI104" s="291"/>
      <c r="AJ104" s="291"/>
      <c r="AK104" s="292"/>
      <c r="AL104" s="292"/>
      <c r="AM104" s="292"/>
      <c r="AN104" s="292"/>
      <c r="AO104" s="292"/>
      <c r="AP104" s="292"/>
      <c r="AQ104" s="292"/>
      <c r="AR104" s="293"/>
    </row>
    <row r="105" spans="1:45" x14ac:dyDescent="0.25">
      <c r="A105" s="60" t="s">
        <v>41</v>
      </c>
      <c r="B105" s="298"/>
      <c r="C105" s="299"/>
      <c r="D105" s="300"/>
      <c r="E105" s="298"/>
      <c r="F105" s="299"/>
      <c r="G105" s="300"/>
      <c r="H105" s="298"/>
      <c r="I105" s="299"/>
      <c r="J105" s="300"/>
      <c r="K105" s="312"/>
      <c r="L105" s="298"/>
      <c r="M105" s="299"/>
      <c r="N105" s="300"/>
      <c r="O105" s="298"/>
      <c r="P105" s="299"/>
      <c r="Q105" s="300"/>
      <c r="R105" s="298"/>
      <c r="S105" s="299"/>
      <c r="T105" s="300"/>
      <c r="U105" s="298"/>
      <c r="V105" s="299"/>
      <c r="W105" s="300"/>
      <c r="X105" s="298"/>
      <c r="Y105" s="299"/>
      <c r="Z105" s="300"/>
      <c r="AA105" s="298"/>
      <c r="AB105" s="299"/>
      <c r="AC105" s="300"/>
      <c r="AD105" s="298"/>
      <c r="AE105" s="299"/>
      <c r="AF105" s="300"/>
      <c r="AG105" s="290"/>
      <c r="AH105" s="291"/>
      <c r="AI105" s="291"/>
      <c r="AJ105" s="291"/>
      <c r="AK105" s="291"/>
      <c r="AL105" s="291"/>
      <c r="AM105" s="291"/>
      <c r="AN105" s="291"/>
      <c r="AO105" s="291"/>
      <c r="AP105" s="291"/>
      <c r="AQ105" s="291"/>
      <c r="AR105" s="294"/>
    </row>
    <row r="106" spans="1:45" x14ac:dyDescent="0.25">
      <c r="A106" s="60" t="s">
        <v>42</v>
      </c>
      <c r="B106" s="298"/>
      <c r="C106" s="299"/>
      <c r="D106" s="300"/>
      <c r="E106" s="298"/>
      <c r="F106" s="299"/>
      <c r="G106" s="300"/>
      <c r="H106" s="298"/>
      <c r="I106" s="299"/>
      <c r="J106" s="300"/>
      <c r="K106" s="312"/>
      <c r="L106" s="298"/>
      <c r="M106" s="299"/>
      <c r="N106" s="300"/>
      <c r="O106" s="298"/>
      <c r="P106" s="299"/>
      <c r="Q106" s="300"/>
      <c r="R106" s="298"/>
      <c r="S106" s="299"/>
      <c r="T106" s="300"/>
      <c r="U106" s="298"/>
      <c r="V106" s="299"/>
      <c r="W106" s="300"/>
      <c r="X106" s="298"/>
      <c r="Y106" s="299"/>
      <c r="Z106" s="300"/>
      <c r="AA106" s="298"/>
      <c r="AB106" s="299"/>
      <c r="AC106" s="300"/>
      <c r="AD106" s="298"/>
      <c r="AE106" s="299"/>
      <c r="AF106" s="300"/>
      <c r="AG106" s="290"/>
      <c r="AH106" s="291"/>
      <c r="AI106" s="291"/>
      <c r="AJ106" s="291"/>
      <c r="AK106" s="291"/>
      <c r="AL106" s="291"/>
      <c r="AM106" s="291"/>
      <c r="AN106" s="291"/>
      <c r="AO106" s="291"/>
      <c r="AP106" s="291"/>
      <c r="AQ106" s="291"/>
      <c r="AR106" s="294"/>
    </row>
    <row r="107" spans="1:45" ht="13.8" thickBot="1" x14ac:dyDescent="0.3">
      <c r="A107" s="11"/>
      <c r="B107" s="301" t="s">
        <v>43</v>
      </c>
      <c r="C107" s="302"/>
      <c r="D107" s="303"/>
      <c r="E107" s="301" t="str">
        <f>IF(AL93&gt;1,"Match 2","")</f>
        <v>Match 2</v>
      </c>
      <c r="F107" s="302"/>
      <c r="G107" s="303"/>
      <c r="H107" s="301" t="str">
        <f>IF(AL93&gt;2,"Match 3","")</f>
        <v>Match 3</v>
      </c>
      <c r="I107" s="302"/>
      <c r="J107" s="303"/>
      <c r="K107" s="312"/>
      <c r="L107" s="301" t="str">
        <f>IF(AL93&gt;3,"Match 4","")</f>
        <v>Match 4</v>
      </c>
      <c r="M107" s="302"/>
      <c r="N107" s="303"/>
      <c r="O107" s="301" t="str">
        <f>IF(AL93&gt;4,"Match 5","")</f>
        <v>Match 5</v>
      </c>
      <c r="P107" s="302"/>
      <c r="Q107" s="303"/>
      <c r="R107" s="301" t="str">
        <f>IF(AL93&gt;5,"Match 6","")</f>
        <v>Match 6</v>
      </c>
      <c r="S107" s="302"/>
      <c r="T107" s="303"/>
      <c r="U107" s="301" t="str">
        <f>IF(AL93&gt;6,"Match 7","")</f>
        <v/>
      </c>
      <c r="V107" s="302"/>
      <c r="W107" s="303"/>
      <c r="X107" s="301" t="str">
        <f>IF(AL93&gt;7,"Match 8","")</f>
        <v/>
      </c>
      <c r="Y107" s="302"/>
      <c r="Z107" s="303"/>
      <c r="AA107" s="301" t="str">
        <f>IF(AL93&gt;8,"Match 9","")</f>
        <v/>
      </c>
      <c r="AB107" s="302"/>
      <c r="AC107" s="303"/>
      <c r="AD107" s="301" t="str">
        <f>IF(AL93&gt;9,"Match 10","")</f>
        <v/>
      </c>
      <c r="AE107" s="302"/>
      <c r="AF107" s="303"/>
      <c r="AG107" s="295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7"/>
    </row>
    <row r="108" spans="1:45" ht="15.6" x14ac:dyDescent="0.3">
      <c r="A108" s="11"/>
      <c r="B108" s="304" t="s">
        <v>46</v>
      </c>
      <c r="C108" s="305"/>
      <c r="D108" s="306"/>
      <c r="E108" s="304" t="s">
        <v>44</v>
      </c>
      <c r="F108" s="305"/>
      <c r="G108" s="306"/>
      <c r="H108" s="304" t="s">
        <v>45</v>
      </c>
      <c r="I108" s="305"/>
      <c r="J108" s="306"/>
      <c r="K108" s="312"/>
      <c r="L108" s="304" t="s">
        <v>46</v>
      </c>
      <c r="M108" s="305"/>
      <c r="N108" s="306"/>
      <c r="O108" s="304" t="s">
        <v>44</v>
      </c>
      <c r="P108" s="305"/>
      <c r="Q108" s="306"/>
      <c r="R108" s="304" t="s">
        <v>45</v>
      </c>
      <c r="S108" s="305"/>
      <c r="T108" s="306"/>
      <c r="U108" s="304" t="s">
        <v>47</v>
      </c>
      <c r="V108" s="305"/>
      <c r="W108" s="306"/>
      <c r="X108" s="304" t="s">
        <v>45</v>
      </c>
      <c r="Y108" s="305"/>
      <c r="Z108" s="306"/>
      <c r="AA108" s="304" t="s">
        <v>93</v>
      </c>
      <c r="AB108" s="305"/>
      <c r="AC108" s="306"/>
      <c r="AD108" s="304" t="s">
        <v>46</v>
      </c>
      <c r="AE108" s="305"/>
      <c r="AF108" s="306"/>
      <c r="AG108" s="61" t="s">
        <v>48</v>
      </c>
      <c r="AH108" s="62">
        <v>1</v>
      </c>
      <c r="AI108" s="62">
        <v>2</v>
      </c>
      <c r="AJ108" s="62">
        <v>3</v>
      </c>
      <c r="AK108" s="62">
        <v>4</v>
      </c>
      <c r="AL108" s="62">
        <v>5</v>
      </c>
      <c r="AM108" s="62">
        <v>6</v>
      </c>
      <c r="AN108" s="62">
        <v>7</v>
      </c>
      <c r="AO108" s="62">
        <v>8</v>
      </c>
      <c r="AP108" s="62">
        <v>9</v>
      </c>
      <c r="AQ108" s="62">
        <v>10</v>
      </c>
      <c r="AR108" s="63" t="s">
        <v>49</v>
      </c>
    </row>
    <row r="109" spans="1:45" ht="15.6" x14ac:dyDescent="0.3">
      <c r="A109" s="11"/>
      <c r="B109" s="64">
        <v>1</v>
      </c>
      <c r="C109" s="65" t="s">
        <v>50</v>
      </c>
      <c r="D109" s="66">
        <v>3</v>
      </c>
      <c r="E109" s="64">
        <v>2</v>
      </c>
      <c r="F109" s="65" t="str">
        <f>IF(AL93&gt;1,"v","")</f>
        <v>v</v>
      </c>
      <c r="G109" s="66">
        <v>3</v>
      </c>
      <c r="H109" s="64">
        <v>1</v>
      </c>
      <c r="I109" s="65" t="str">
        <f>IF(AL93&gt;2,"v","")</f>
        <v>v</v>
      </c>
      <c r="J109" s="66">
        <v>2</v>
      </c>
      <c r="K109" s="312"/>
      <c r="L109" s="64">
        <v>1</v>
      </c>
      <c r="M109" s="65" t="str">
        <f>IF(AL93&gt;3,"v","")</f>
        <v>v</v>
      </c>
      <c r="N109" s="66">
        <v>3</v>
      </c>
      <c r="O109" s="64">
        <v>2</v>
      </c>
      <c r="P109" s="65" t="str">
        <f>IF(AL93&gt;4,"v","")</f>
        <v>v</v>
      </c>
      <c r="Q109" s="66">
        <v>3</v>
      </c>
      <c r="R109" s="64">
        <v>1</v>
      </c>
      <c r="S109" s="65" t="str">
        <f>IF(AL93&gt;5,"v","")</f>
        <v>v</v>
      </c>
      <c r="T109" s="66">
        <v>2</v>
      </c>
      <c r="U109" s="64">
        <v>2</v>
      </c>
      <c r="V109" s="65" t="str">
        <f>IF(AL93&gt;6,"v","")</f>
        <v/>
      </c>
      <c r="W109" s="66">
        <v>3</v>
      </c>
      <c r="X109" s="64">
        <v>1</v>
      </c>
      <c r="Y109" s="65" t="str">
        <f>IF(AL93&gt;7,"v","")</f>
        <v/>
      </c>
      <c r="Z109" s="66">
        <v>5</v>
      </c>
      <c r="AA109" s="64">
        <v>3</v>
      </c>
      <c r="AB109" s="65" t="str">
        <f>IF(AL93&gt;8,"v","")</f>
        <v/>
      </c>
      <c r="AC109" s="66">
        <v>4</v>
      </c>
      <c r="AD109" s="64">
        <v>1</v>
      </c>
      <c r="AE109" s="65" t="str">
        <f>IF(AL93&gt;9,"v","")</f>
        <v/>
      </c>
      <c r="AF109" s="66">
        <v>2</v>
      </c>
      <c r="AG109" s="67" t="str">
        <f>IF(AL94&gt;0,"Team 1","")</f>
        <v>Team 1</v>
      </c>
      <c r="AH109" s="68">
        <f>IF(AL94&lt;1,"",IF(AL93&lt;1,"",IF(B109=1,B115-D115,IF(D109=1,D115-B115,""))))</f>
        <v>-8</v>
      </c>
      <c r="AI109" s="68" t="str">
        <f>IF(AL94&lt;1,"",IF(AL93&lt;2,"",IF(E109=1,E115-G115,IF(G109=1,G115-E115,""))))</f>
        <v/>
      </c>
      <c r="AJ109" s="68">
        <f>IF(AL94&lt;1,"",IF(AL93&lt;3,"",IF(H109=1,H115-J115,IF(J109=1,J115-H115,""))))</f>
        <v>-6</v>
      </c>
      <c r="AK109" s="68">
        <f>IF(AL94&lt;1,"",IF(AL93&lt;4,"",IF(L109=1,L115-N115,IF(N109=1,N115-L115,""))))</f>
        <v>-1</v>
      </c>
      <c r="AL109" s="68" t="str">
        <f>IF(AL94&lt;1,"",IF(AL93&lt;5,"",IF(O109=1,O115-Q115,IF(Q109=1,Q115-O115,""))))</f>
        <v/>
      </c>
      <c r="AM109" s="68">
        <f>IF(AL94&lt;1,"",IF(AL93&lt;6,"",IF(R109=1,R115-T115,IF(T109=1,T115-R115,""))))</f>
        <v>11</v>
      </c>
      <c r="AN109" s="68" t="str">
        <f>IF(AL94&lt;1,"",IF(AL93&lt;7,"",IF(U109=1,U115-W115,IF(W109=1,W115-U115,""))))</f>
        <v/>
      </c>
      <c r="AO109" s="68" t="str">
        <f>IF(AL94&lt;1,"",IF(AL93&lt;8,"",IF(X109=1,X115-Z115,IF(Z109=1,Z115-X115,""))))</f>
        <v/>
      </c>
      <c r="AP109" s="68" t="str">
        <f>IF(AL94&lt;1,"",IF(AL93&lt;9,"",IF(AA109=1,AA115-AC115,IF(AC109=1,AC115-AA115,""))))</f>
        <v/>
      </c>
      <c r="AQ109" s="68" t="str">
        <f>IF(AL94&lt;1,"",IF(AL93&lt;10,"",IF(AD109=1,AD115-AF115,IF(AF109=1,AF115-AD115,""))))</f>
        <v/>
      </c>
      <c r="AR109" s="63">
        <f>SUM(AH109:AQ109)</f>
        <v>-4</v>
      </c>
    </row>
    <row r="110" spans="1:45" ht="15" x14ac:dyDescent="0.25">
      <c r="A110" t="s">
        <v>51</v>
      </c>
      <c r="B110" s="69">
        <v>22</v>
      </c>
      <c r="C110" s="70" t="s">
        <v>52</v>
      </c>
      <c r="D110" s="71">
        <v>30</v>
      </c>
      <c r="E110" s="69">
        <v>25</v>
      </c>
      <c r="F110" s="70" t="str">
        <f>IF(AL93&gt;1,"/","")</f>
        <v>/</v>
      </c>
      <c r="G110" s="71">
        <v>29</v>
      </c>
      <c r="H110" s="69">
        <v>27</v>
      </c>
      <c r="I110" s="70" t="str">
        <f>IF(AL93&gt;2,"/","")</f>
        <v>/</v>
      </c>
      <c r="J110" s="71">
        <v>33</v>
      </c>
      <c r="K110" s="312"/>
      <c r="L110" s="69">
        <v>29</v>
      </c>
      <c r="M110" s="70" t="str">
        <f>IF(AL93&gt;3,"/","")</f>
        <v>/</v>
      </c>
      <c r="N110" s="71">
        <v>30</v>
      </c>
      <c r="O110" s="69">
        <v>21</v>
      </c>
      <c r="P110" s="70" t="str">
        <f>IF(AL93&gt;4,"/","")</f>
        <v>/</v>
      </c>
      <c r="Q110" s="71">
        <v>27</v>
      </c>
      <c r="R110" s="69">
        <v>35</v>
      </c>
      <c r="S110" s="70" t="str">
        <f>IF(AL93&gt;5,"/","")</f>
        <v>/</v>
      </c>
      <c r="T110" s="71">
        <v>24</v>
      </c>
      <c r="U110" s="69"/>
      <c r="V110" s="70" t="str">
        <f>IF(AL93&gt;6,"/","")</f>
        <v/>
      </c>
      <c r="W110" s="71"/>
      <c r="X110" s="69"/>
      <c r="Y110" s="70" t="str">
        <f>IF(AL93&gt;7,"/","")</f>
        <v/>
      </c>
      <c r="Z110" s="71"/>
      <c r="AA110" s="69"/>
      <c r="AB110" s="70" t="str">
        <f>IF(AL93&gt;8,"/","")</f>
        <v/>
      </c>
      <c r="AC110" s="71"/>
      <c r="AD110" s="69"/>
      <c r="AE110" s="70" t="str">
        <f>IF(AL93&gt;9,"/","")</f>
        <v/>
      </c>
      <c r="AF110" s="71"/>
      <c r="AG110" s="67" t="str">
        <f>IF(AL94&gt;1,"Team 2","")</f>
        <v>Team 2</v>
      </c>
      <c r="AH110" s="68" t="str">
        <f>IF(AL94&lt;2,"",IF(AL93&lt;1,"",IF(B109=2,B115-D115,IF(D109=2,D115-B115,""))))</f>
        <v/>
      </c>
      <c r="AI110" s="68">
        <f>IF(AL94&lt;2,"",IF(AL93&lt;2,"",IF(E109=2,E115-G115,IF(G109=2,G115-E115,""))))</f>
        <v>-4</v>
      </c>
      <c r="AJ110" s="68">
        <f>IF(AL94&lt;2,"",IF(AL93&lt;3,"",IF(H109=2,H115-J115,IF(J109=2,J115-H115,""))))</f>
        <v>6</v>
      </c>
      <c r="AK110" s="68" t="str">
        <f>IF(AL94&lt;2,"",IF(AL93&lt;4,"",IF(L109=2,L115-N115,IF(N109=2,N115-L115,""))))</f>
        <v/>
      </c>
      <c r="AL110" s="68">
        <f>IF(AL94&lt;2,"",IF(AL93&lt;5,"",IF(O109=2,O115-Q115,IF(Q109=2,Q115-O115,""))))</f>
        <v>-6</v>
      </c>
      <c r="AM110" s="68">
        <f>IF(AL94&lt;2,"",IF(AL93&lt;6,"",IF(R109=2,R115-T115,IF(T109=2,T115-R115,""))))</f>
        <v>-11</v>
      </c>
      <c r="AN110" s="68" t="str">
        <f>IF(AL94&lt;2,"",IF(AL93&lt;7,"",IF(U109=2,U115-W115,IF(W109=2,W115-U115,""))))</f>
        <v/>
      </c>
      <c r="AO110" s="68" t="str">
        <f>IF(AL94&lt;2,"",IF(AL93&lt;8,"",IF(X109=2,X115-Z115,IF(Z109=2,Z115-X115,""))))</f>
        <v/>
      </c>
      <c r="AP110" s="68" t="str">
        <f>IF(AL94&lt;2,"",IF(AL93&lt;9,"",IF(AA109=2,AA115-AC115,IF(AC109=2,AC115-AA115,""))))</f>
        <v/>
      </c>
      <c r="AQ110" s="68" t="str">
        <f>IF(AL94&lt;2,"",IF(AL93&lt;10,"",IF(AD109=2,AD115-AF115,IF(AF109=2,AF115-AD115,""))))</f>
        <v/>
      </c>
      <c r="AR110" s="63">
        <f>SUM(AH110:AQ110)</f>
        <v>-15</v>
      </c>
    </row>
    <row r="111" spans="1:45" ht="15" x14ac:dyDescent="0.25">
      <c r="A111" s="3" t="str">
        <f>IF(AL92&gt;1,"Game 2","")</f>
        <v/>
      </c>
      <c r="B111" s="69"/>
      <c r="C111" s="70" t="s">
        <v>52</v>
      </c>
      <c r="D111" s="71"/>
      <c r="E111" s="69"/>
      <c r="F111" s="70" t="str">
        <f>IF(AL93&gt;1,IF(AL92&gt;1,"/",""),"")</f>
        <v/>
      </c>
      <c r="G111" s="71"/>
      <c r="H111" s="69"/>
      <c r="I111" s="70" t="str">
        <f>IF(AL93&gt;2,IF(AL92&gt;1,"/",""),"")</f>
        <v/>
      </c>
      <c r="J111" s="71"/>
      <c r="K111" s="312"/>
      <c r="L111" s="69"/>
      <c r="M111" s="70" t="str">
        <f>IF(AL93&gt;3,IF(AL92&gt;1,"/",""),"")</f>
        <v/>
      </c>
      <c r="N111" s="71"/>
      <c r="O111" s="69"/>
      <c r="P111" s="70" t="str">
        <f>IF(AL93&gt;4,IF(AL92&gt;1,"/",""),"")</f>
        <v/>
      </c>
      <c r="Q111" s="71"/>
      <c r="R111" s="69"/>
      <c r="S111" s="70" t="str">
        <f>IF(AL93&gt;5,IF(AL92&gt;1,"/",""),"")</f>
        <v/>
      </c>
      <c r="T111" s="71"/>
      <c r="U111" s="69"/>
      <c r="V111" s="70" t="str">
        <f>IF(AL93&gt;6,IF(AL92&gt;1,"/",""),"")</f>
        <v/>
      </c>
      <c r="W111" s="71"/>
      <c r="X111" s="69"/>
      <c r="Y111" s="70" t="str">
        <f>IF(AL93&gt;7,IF(AL92&gt;1,"/",""),"")</f>
        <v/>
      </c>
      <c r="Z111" s="71"/>
      <c r="AA111" s="69"/>
      <c r="AB111" s="70" t="str">
        <f>IF(AL93&gt;8,IF(AL92&gt;1,"/",""),"")</f>
        <v/>
      </c>
      <c r="AC111" s="71"/>
      <c r="AD111" s="69"/>
      <c r="AE111" s="70" t="str">
        <f>IF(AL93&gt;9,IF(AL92&gt;1,"/",""),"")</f>
        <v/>
      </c>
      <c r="AF111" s="71"/>
      <c r="AG111" s="67" t="str">
        <f>IF(AL94&gt;2,"Team 3","")</f>
        <v>Team 3</v>
      </c>
      <c r="AH111" s="68">
        <f>IF(AL94&lt;3,"",IF(AL93&lt;1,"",IF(B109=3,B115-D115,IF(D109=3,D115-B115,""))))</f>
        <v>8</v>
      </c>
      <c r="AI111" s="68">
        <f>IF(AL94&lt;3,"",IF(AL93&lt;2,"",IF(E109=3,E115-G115,IF(G109=3,G115-E115,""))))</f>
        <v>4</v>
      </c>
      <c r="AJ111" s="68" t="str">
        <f>IF(AL94&lt;3,"",IF(AL93&lt;3,"",IF(H109=3,H115-J115,IF(J109=3,J115-H115,""))))</f>
        <v/>
      </c>
      <c r="AK111" s="68">
        <f>IF(AL94&lt;3,"",IF(AL93&lt;4,"",IF(L109=3,L115-N115,IF(N109=3,N115-L115,""))))</f>
        <v>1</v>
      </c>
      <c r="AL111" s="68">
        <f>IF(AL94&lt;3,"",IF(AL93&lt;5,"",IF(O109=3,O115-Q115,IF(Q109=3,Q115-O115,""))))</f>
        <v>6</v>
      </c>
      <c r="AM111" s="68" t="str">
        <f>IF(AL94&lt;3,"",IF(AL93&lt;6,"",IF(R109=3,R115-T115,IF(T109=3,T115-R115,""))))</f>
        <v/>
      </c>
      <c r="AN111" s="68" t="str">
        <f>IF(AL94&lt;3,"",IF(AL93&lt;7,"",IF(U109=3,U115-W115,IF(W109=3,W115-U115,""))))</f>
        <v/>
      </c>
      <c r="AO111" s="68" t="str">
        <f>IF(AL94&lt;3,"",IF(AL93&lt;8,"",IF(X109=3,X115-Z115,IF(Z109=3,Z115-X115,""))))</f>
        <v/>
      </c>
      <c r="AP111" s="68" t="str">
        <f>IF(AL94&lt;3,"",IF(AL93&lt;9,"",IF(AA109=3,AA115-AC115,IF(AC109=3,AC115-AA115,""))))</f>
        <v/>
      </c>
      <c r="AQ111" s="68" t="str">
        <f>IF(AL94&lt;3,"",IF(AL93&lt;9,"",IF(AD109=3,AD115-AF115,IF(AF109=3,AF115-AD115,""))))</f>
        <v/>
      </c>
      <c r="AR111" s="63">
        <f>SUM(AH111:AQ111)</f>
        <v>19</v>
      </c>
    </row>
    <row r="112" spans="1:45" ht="15" x14ac:dyDescent="0.25">
      <c r="A112" s="3" t="str">
        <f>IF(AL92&gt;2,"Game 3","")</f>
        <v/>
      </c>
      <c r="B112" s="69"/>
      <c r="C112" s="70" t="s">
        <v>52</v>
      </c>
      <c r="D112" s="71"/>
      <c r="E112" s="69"/>
      <c r="F112" s="70" t="str">
        <f>IF(AL93&gt;1,IF(AL92&gt;2,"/",""),"")</f>
        <v/>
      </c>
      <c r="G112" s="71"/>
      <c r="H112" s="69"/>
      <c r="I112" s="70" t="str">
        <f>IF(AL93&gt;2,IF(AL92&gt;2,"/",""),"")</f>
        <v/>
      </c>
      <c r="J112" s="71"/>
      <c r="K112" s="312"/>
      <c r="L112" s="69"/>
      <c r="M112" s="70" t="str">
        <f>IF(AL93&gt;3,IF(AL92&gt;2,"/",""),"")</f>
        <v/>
      </c>
      <c r="N112" s="71"/>
      <c r="O112" s="69"/>
      <c r="P112" s="70" t="str">
        <f>IF(AL93&gt;4,IF(AL92&gt;2,"/",""),"")</f>
        <v/>
      </c>
      <c r="Q112" s="71"/>
      <c r="R112" s="69"/>
      <c r="S112" s="70" t="str">
        <f>IF(AL93&gt;5,IF(AL92&gt;2,"/",""),"")</f>
        <v/>
      </c>
      <c r="T112" s="71"/>
      <c r="U112" s="69"/>
      <c r="V112" s="70" t="str">
        <f>IF(AL93&gt;6,IF(AL92&gt;2,"/",""),"")</f>
        <v/>
      </c>
      <c r="W112" s="71"/>
      <c r="X112" s="69"/>
      <c r="Y112" s="70" t="str">
        <f>IF(AL93&gt;7,IF(AL92&gt;2,"/",""),"")</f>
        <v/>
      </c>
      <c r="Z112" s="71"/>
      <c r="AA112" s="69"/>
      <c r="AB112" s="70" t="str">
        <f>IF(AL93&gt;8,IF(AL92&gt;2,"/",""),"")</f>
        <v/>
      </c>
      <c r="AC112" s="71"/>
      <c r="AD112" s="69"/>
      <c r="AE112" s="70" t="str">
        <f>IF(AL93&gt;9,IF(AL92&gt;2,"/",""),"")</f>
        <v/>
      </c>
      <c r="AF112" s="71"/>
      <c r="AG112" s="67" t="str">
        <f>IF(AL94&gt;3,"Team 4","")</f>
        <v/>
      </c>
      <c r="AH112" s="68" t="str">
        <f>IF(AL94&lt;4,"",IF(AL93&lt;1,"",IF(B109=4,B115-D115,IF(D109=4,D115-B115,""))))</f>
        <v/>
      </c>
      <c r="AI112" s="68" t="str">
        <f>IF(AL94&lt;4,"",IF(AL93&lt;2,"",IF(E109=4,E115-G115,IF(G109=4,G115-E115,""))))</f>
        <v/>
      </c>
      <c r="AJ112" s="68" t="str">
        <f>IF(AL94&lt;4,"",IF(AL93&lt;3,"",IF(H109=4,H115-J115,IF(J109=4,J115-H115,""))))</f>
        <v/>
      </c>
      <c r="AK112" s="68" t="str">
        <f>IF(AL94&lt;4,"",IF(AL93&lt;4,"",IF(L109=4,L115-N115,IF(N109=4,N115-L115,""))))</f>
        <v/>
      </c>
      <c r="AL112" s="68" t="str">
        <f>IF(AL94&lt;4,"",IF(AL93&lt;5,"",IF(O109=4,O115-Q115,IF(Q109=4,Q115-O115,""))))</f>
        <v/>
      </c>
      <c r="AM112" s="68" t="str">
        <f>IF(AL94&lt;4,"",IF(AL93&lt;6,"",IF(R109=4,R115-T115,IF(T109=4,T115-R115,""))))</f>
        <v/>
      </c>
      <c r="AN112" s="68" t="str">
        <f>IF(AL94&lt;4,"",IF(AL93&lt;7,"",IF(U109=4,U115-W115,IF(W109=4,W115-U115,""))))</f>
        <v/>
      </c>
      <c r="AO112" s="68" t="str">
        <f>IF(AL94&lt;4,"",IF(AL93&lt;8,"",IF(X109=4,X115-Z115,IF(Z109=4,Z115-X115,""))))</f>
        <v/>
      </c>
      <c r="AP112" s="68" t="str">
        <f>IF(AL94&lt;4,"",IF(AL93&lt;9,"",IF(AA109=4,AA115-AC115,IF(AC109=4,AC115-AA115,""))))</f>
        <v/>
      </c>
      <c r="AQ112" s="68" t="str">
        <f>IF(AL94&lt;4,"",IF(AL93&lt;10,"",IF(AD109=4,AD115-AF115,IF(AF109=4,AF115-AD115,""))))</f>
        <v/>
      </c>
      <c r="AR112" s="63">
        <f>SUM(AH112:AQ112)</f>
        <v>0</v>
      </c>
    </row>
    <row r="113" spans="1:44" ht="15" x14ac:dyDescent="0.25">
      <c r="A113" s="3" t="str">
        <f>IF(AL92&gt;3,"Game 4","")</f>
        <v/>
      </c>
      <c r="B113" s="69"/>
      <c r="C113" s="70" t="s">
        <v>52</v>
      </c>
      <c r="D113" s="71"/>
      <c r="E113" s="69"/>
      <c r="F113" s="70" t="str">
        <f>IF(AL93&gt;1,IF(AL92&gt;3,"/",""),"")</f>
        <v/>
      </c>
      <c r="G113" s="71"/>
      <c r="H113" s="69"/>
      <c r="I113" s="70" t="str">
        <f>IF(AL93&gt;2,IF(AL92&gt;3,"/",""),"")</f>
        <v/>
      </c>
      <c r="J113" s="71"/>
      <c r="K113" s="312"/>
      <c r="L113" s="69"/>
      <c r="M113" s="70" t="str">
        <f>IF(AL93&gt;3,IF(AL92&gt;3,"/",""),"")</f>
        <v/>
      </c>
      <c r="N113" s="71"/>
      <c r="O113" s="69"/>
      <c r="P113" s="70" t="str">
        <f>IF(AL93&gt;4,IF(AL92&gt;3,"/",""),"")</f>
        <v/>
      </c>
      <c r="Q113" s="71"/>
      <c r="R113" s="69"/>
      <c r="S113" s="70" t="str">
        <f>IF(AL93&gt;5,IF(AL92&gt;3,"/",""),"")</f>
        <v/>
      </c>
      <c r="T113" s="71"/>
      <c r="U113" s="69"/>
      <c r="V113" s="70" t="str">
        <f>IF(AL93&gt;6,IF(AL92&gt;3,"/",""),"")</f>
        <v/>
      </c>
      <c r="W113" s="71"/>
      <c r="X113" s="69"/>
      <c r="Y113" s="70" t="str">
        <f>IF(AL93&gt;7,IF(AL92&gt;3,"/",""),"")</f>
        <v/>
      </c>
      <c r="Z113" s="71"/>
      <c r="AA113" s="69"/>
      <c r="AB113" s="70" t="str">
        <f>IF(AL93&gt;8,IF(AL92&gt;3,"/",""),"")</f>
        <v/>
      </c>
      <c r="AC113" s="71"/>
      <c r="AD113" s="69"/>
      <c r="AE113" s="70" t="str">
        <f>IF(AL93&gt;9,IF(AL92&gt;3,"/",""),"")</f>
        <v/>
      </c>
      <c r="AF113" s="71"/>
      <c r="AG113" s="67" t="str">
        <f>IF(AL94&gt;4,"Team 5","")</f>
        <v/>
      </c>
      <c r="AH113" s="72" t="str">
        <f>IF(AL94&lt;5,"",IF(AL93&lt;1,"",IF(B109=5,B115-D115,IF(D109=5,D115-B115,""))))</f>
        <v/>
      </c>
      <c r="AI113" s="68" t="str">
        <f>IF(AL94&lt;5,"",IF(AL93&lt;2,"",IF(E109=5,E115-G115,IF(G109=5,G115-E115,""))))</f>
        <v/>
      </c>
      <c r="AJ113" s="68" t="str">
        <f>IF(AL94&lt;5,"",IF(AL93&lt;3,"",IF(H109=5,H115-J115,IF(J109=5,J115-H115,""))))</f>
        <v/>
      </c>
      <c r="AK113" s="68" t="str">
        <f>IF(AL94&lt;5,"",IF(AL93&lt;4,"",IF(L109=5,L115-N115,IF(N109=5,N115-L115,""))))</f>
        <v/>
      </c>
      <c r="AL113" s="68" t="str">
        <f>IF(AL94&lt;5,"",IF(AL93&lt;5,"",IF(O109=5,O115-Q115,IF(Q109=5,Q115-O115,""))))</f>
        <v/>
      </c>
      <c r="AM113" s="68" t="str">
        <f>IF(AL94&lt;5,"",IF(AL93&lt;6,"",IF(R109=5,R115-T115,IF(T109=5,T115-R115,""))))</f>
        <v/>
      </c>
      <c r="AN113" s="68" t="str">
        <f>IF(AL94&lt;5,"",IF(AL93&lt;7,"",IF(U109=5,U115-W115,IF(W109=5,W115-U115,""))))</f>
        <v/>
      </c>
      <c r="AO113" s="68" t="str">
        <f>IF(AL94&lt;5,"",IF(AL93&lt;8,"",IF(X109=5,X115-Z115,IF(Z109=5,Z115-X115,""))))</f>
        <v/>
      </c>
      <c r="AP113" s="68" t="str">
        <f>IF(AL94&lt;5,"",IF(AL93&lt;9,"",IF(AA109=5,AA115-AC115,IF(AC109=5,AC115-AA115,""))))</f>
        <v/>
      </c>
      <c r="AQ113" s="68" t="str">
        <f>IF(AL94&lt;5,"",IF(AL93&lt;10,"",IF(AD109=5,AD115-AF115,IF(AF109=5,AF115-AD115,""))))</f>
        <v/>
      </c>
      <c r="AR113" s="63">
        <f>SUM(AH113:AQ113)</f>
        <v>0</v>
      </c>
    </row>
    <row r="114" spans="1:44" ht="15" x14ac:dyDescent="0.25">
      <c r="A114" s="3" t="str">
        <f>IF(AL92&gt;4,"Game 5","")</f>
        <v/>
      </c>
      <c r="B114" s="69"/>
      <c r="C114" s="70" t="s">
        <v>52</v>
      </c>
      <c r="D114" s="71"/>
      <c r="E114" s="69"/>
      <c r="F114" s="70" t="str">
        <f>IF(AL93&gt;1,IF(AL92&gt;4,"/",""),"")</f>
        <v/>
      </c>
      <c r="G114" s="71"/>
      <c r="H114" s="69"/>
      <c r="I114" s="70" t="str">
        <f>IF(AL93&gt;2,IF(AL92&gt;4,"/",""),"")</f>
        <v/>
      </c>
      <c r="J114" s="71"/>
      <c r="K114" s="313"/>
      <c r="L114" s="69"/>
      <c r="M114" s="70" t="str">
        <f>IF(AL93&gt;3,IF(AL92&gt;4,"/",""),"")</f>
        <v/>
      </c>
      <c r="N114" s="71"/>
      <c r="O114" s="69"/>
      <c r="P114" s="70" t="str">
        <f>IF(AL93&gt;4,IF(AL92&gt;4,"/",""),"")</f>
        <v/>
      </c>
      <c r="Q114" s="71"/>
      <c r="R114" s="69"/>
      <c r="S114" s="70" t="str">
        <f>IF(AL93&gt;5,IF(AL92&gt;4,"/",""),"")</f>
        <v/>
      </c>
      <c r="T114" s="71"/>
      <c r="U114" s="69"/>
      <c r="V114" s="70" t="str">
        <f>IF(AL93&gt;6,IF(AL92&gt;4,"/",""),"")</f>
        <v/>
      </c>
      <c r="W114" s="71"/>
      <c r="X114" s="69"/>
      <c r="Y114" s="70" t="str">
        <f>IF(AL93&gt;7,IF(AL92&gt;4,"/",""),"")</f>
        <v/>
      </c>
      <c r="Z114" s="71"/>
      <c r="AA114" s="69"/>
      <c r="AB114" s="70" t="str">
        <f>IF(AL93&gt;8,IF(AL92&gt;4,"/",""),"")</f>
        <v/>
      </c>
      <c r="AC114" s="71"/>
      <c r="AD114" s="69"/>
      <c r="AE114" s="70" t="str">
        <f>IF(AL93&gt;9,IF(AL92&gt;4,"/",""),"")</f>
        <v/>
      </c>
      <c r="AF114" s="7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</row>
    <row r="115" spans="1:44" hidden="1" x14ac:dyDescent="0.25">
      <c r="A115" s="73"/>
      <c r="B115" s="73">
        <f>IF($AL92=5,SUM(B110:B114),IF($AL92=4,SUM(B110:B113),IF($AL92=3,SUM(B110:B112),IF($AL92=2,SUM(B110:B111),B110))))</f>
        <v>22</v>
      </c>
      <c r="C115" s="73"/>
      <c r="D115" s="73">
        <f>IF($AL92=5,SUM(D110:D114),IF($AL92=4,SUM(D110:D113),IF($AL92=3,SUM(D110:D112),IF($AL92=2,SUM(D110:D111),D110))))</f>
        <v>30</v>
      </c>
      <c r="E115" s="73">
        <f>IF($AL92=5,SUM(E110:E114),IF($AL92=4,SUM(E110:E113),IF($AL92=3,SUM(E110:E112),IF($AL92=2,SUM(E110:E111),E110))))</f>
        <v>25</v>
      </c>
      <c r="F115" s="73"/>
      <c r="G115" s="73">
        <f>IF($AL92=5,SUM(G110:G114),IF($AL92=4,SUM(G110:G113),IF($AL92=3,SUM(G110:G112),IF($AL92=2,SUM(G110:G111),G110))))</f>
        <v>29</v>
      </c>
      <c r="H115" s="73">
        <f>IF($AL92=5,SUM(H110:H114),IF($AL92=4,SUM(H110:H113),IF($AL92=3,SUM(H110:H112),IF($AL92=2,SUM(H110:H111),H110))))</f>
        <v>27</v>
      </c>
      <c r="I115" s="73"/>
      <c r="J115" s="73">
        <f>IF($AL92=5,SUM(J110:J114),IF($AL92=4,SUM(J110:J113),IF($AL92=3,SUM(J110:J112),IF($AL92=2,SUM(J110:J111),J110))))</f>
        <v>33</v>
      </c>
      <c r="K115" s="73"/>
      <c r="L115" s="73">
        <f>IF($AL92=5,SUM(L110:L114),IF($AL92=4,SUM(L110:L113),IF($AL92=3,SUM(L110:L112),IF($AL92=2,SUM(L110:L111),L110))))</f>
        <v>29</v>
      </c>
      <c r="M115" s="73"/>
      <c r="N115" s="73">
        <f>IF($AL92=5,SUM(N110:N114),IF($AL92=4,SUM(N110:N113),IF($AL92=3,SUM(N110:N112),IF($AL92=2,SUM(N110:N111),N110))))</f>
        <v>30</v>
      </c>
      <c r="O115" s="73">
        <f>IF($AL92=5,SUM(O110:O114),IF($AL92=4,SUM(O110:O113),IF($AL92=3,SUM(O110:O112),IF($AL92=2,SUM(O110:O111),O110))))</f>
        <v>21</v>
      </c>
      <c r="P115" s="73"/>
      <c r="Q115" s="73">
        <f>IF($AL92=5,SUM(Q110:Q114),IF($AL92=4,SUM(Q110:Q113),IF($AL92=3,SUM(Q110:Q112),IF($AL92=2,SUM(Q110:Q111),Q110))))</f>
        <v>27</v>
      </c>
      <c r="R115" s="73">
        <f>IF($AL92=5,SUM(R110:R114),IF($AL92=4,SUM(R110:R113),IF($AL92=3,SUM(R110:R112),IF($AL92=2,SUM(R110:R111),R110))))</f>
        <v>35</v>
      </c>
      <c r="S115" s="73"/>
      <c r="T115" s="73">
        <f>IF($AL92=5,SUM(T110:T114),IF($AL92=4,SUM(T110:T113),IF($AL92=3,SUM(T110:T112),IF($AL92=2,SUM(T110:T111),T110))))</f>
        <v>24</v>
      </c>
      <c r="U115" s="73">
        <f>IF($AL92=5,SUM(U110:U114),IF($AL92=4,SUM(U110:U113),IF($AL92=3,SUM(U110:U112),IF($AL92=2,SUM(U110:U111),U110))))</f>
        <v>0</v>
      </c>
      <c r="V115" s="73"/>
      <c r="W115" s="73">
        <f>IF($AL92=5,SUM(W110:W114),IF($AL92=4,SUM(W110:W113),IF($AL92=3,SUM(W110:W112),IF($AL92=2,SUM(W110:W111),W110))))</f>
        <v>0</v>
      </c>
      <c r="X115" s="73">
        <f>IF($AL92=5,SUM(X110:X114),IF($AL92=4,SUM(X110:X113),IF($AL92=3,SUM(X110:X112),IF($AL92=2,SUM(X110:X111),X110))))</f>
        <v>0</v>
      </c>
      <c r="Y115" s="73"/>
      <c r="Z115" s="73">
        <f>IF($AL92=5,SUM(Z110:Z114),IF($AL92=4,SUM(Z110:Z113),IF($AL92=3,SUM(Z110:Z112),IF($AL92=2,SUM(Z110:Z111),Z110))))</f>
        <v>0</v>
      </c>
      <c r="AA115" s="73">
        <f>IF($AL92=5,SUM(AA110:AA114),IF($AL92=4,SUM(AA110:AA113),IF($AL92=3,SUM(AA110:AA112),IF($AL92=2,SUM(AA110:AA111),AA110))))</f>
        <v>0</v>
      </c>
      <c r="AB115" s="73"/>
      <c r="AC115" s="73">
        <f>IF($AL92=5,SUM(AC110:AC114),IF($AL92=4,SUM(AC110:AC113),IF($AL92=3,SUM(AC110:AC112),IF($AL92=2,SUM(AC110:AC111),AC110))))</f>
        <v>0</v>
      </c>
      <c r="AD115" s="73">
        <f>IF($AL92=5,SUM(AD110:AD114),IF($AL92=4,SUM(AD110:AD113),IF($AL92=3,SUM(AD110:AD112),IF($AL92=2,SUM(AD110:AD111),AD110))))</f>
        <v>0</v>
      </c>
      <c r="AE115" s="73"/>
      <c r="AF115" s="73">
        <f>IF($AL92=5,SUM(AF110:AF114),IF($AL92=4,SUM(AF110:AF113),IF($AL92=3,SUM(AF110:AF112),IF($AL92=2,SUM(AF110:AF111),AF110))))</f>
        <v>0</v>
      </c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</row>
    <row r="116" spans="1:44" s="74" customFormat="1" ht="12.75" hidden="1" customHeight="1" x14ac:dyDescent="0.25">
      <c r="A116" s="74" t="s">
        <v>53</v>
      </c>
      <c r="B116" s="75">
        <f>IF(AND(B110&gt;D110,$AL93&gt;0,ISNUMBER(B110),ISNUMBER(D110)),1,0)</f>
        <v>0</v>
      </c>
      <c r="C116" s="75"/>
      <c r="D116" s="76">
        <f>IF(AND(D110&gt;B110,$AL93&gt;0,ISNUMBER(B110),ISNUMBER(D110)),1,0)</f>
        <v>1</v>
      </c>
      <c r="E116" s="75">
        <f>IF(AND(E110&gt;G110,$AL93&gt;1,ISNUMBER(E110),ISNUMBER(G110)),1,0)</f>
        <v>0</v>
      </c>
      <c r="F116" s="75"/>
      <c r="G116" s="76">
        <f>IF(AND(G110&gt;E110,$AL93&gt;1,ISNUMBER(E110),ISNUMBER(G110)),1,0)</f>
        <v>1</v>
      </c>
      <c r="H116" s="75">
        <f>IF(AND(H110&gt;J110,$AL93&gt;2,ISNUMBER(H110),ISNUMBER(J110)),1,0)</f>
        <v>0</v>
      </c>
      <c r="I116" s="75"/>
      <c r="J116" s="76">
        <f>IF(AND(J110&gt;H110,$AL93&gt;2,ISNUMBER(H110),ISNUMBER(J110)),1,0)</f>
        <v>1</v>
      </c>
      <c r="K116" s="77"/>
      <c r="L116" s="75">
        <f>IF(AND(L110&gt;N110,$AL93&gt;3,ISNUMBER(L110),ISNUMBER(N110)),1,0)</f>
        <v>0</v>
      </c>
      <c r="M116" s="75"/>
      <c r="N116" s="76">
        <f>IF(AND(N110&gt;L110,$AL93&gt;3,ISNUMBER(L110),ISNUMBER(N110)),1,0)</f>
        <v>1</v>
      </c>
      <c r="O116" s="75">
        <f>IF(AND(O110&gt;Q110,$AL93&gt;4,ISNUMBER(O110),ISNUMBER(Q110)),1,0)</f>
        <v>0</v>
      </c>
      <c r="P116" s="75"/>
      <c r="Q116" s="76">
        <f>IF(AND(Q110&gt;O110,$AL93&gt;4,ISNUMBER(O110),ISNUMBER(Q110)),1,0)</f>
        <v>1</v>
      </c>
      <c r="R116" s="75">
        <f>IF(AND(R110&gt;T110,$AL93&gt;5,ISNUMBER(R110),ISNUMBER(T110)),1,0)</f>
        <v>1</v>
      </c>
      <c r="S116" s="75"/>
      <c r="T116" s="76">
        <f>IF(AND(T110&gt;R110,$AL93&gt;5,ISNUMBER(R110),ISNUMBER(T110)),1,0)</f>
        <v>0</v>
      </c>
      <c r="U116" s="75">
        <f>IF(AND(U110&gt;W110,$AL93&gt;6,ISNUMBER(U110),ISNUMBER(W110)),1,0)</f>
        <v>0</v>
      </c>
      <c r="V116" s="75"/>
      <c r="W116" s="76">
        <f>IF(AND(W110&gt;U110,$AL93&gt;6,ISNUMBER(U110),ISNUMBER(W110)),1,0)</f>
        <v>0</v>
      </c>
      <c r="X116" s="75">
        <f>IF(AND(X110&gt;Z110,$AL93&gt;7,ISNUMBER(X110),ISNUMBER(Z110)),1,0)</f>
        <v>0</v>
      </c>
      <c r="Y116" s="75"/>
      <c r="Z116" s="76">
        <f>IF(AND(Z110&gt;X110,$AL93&gt;7,ISNUMBER(X110),ISNUMBER(Z110)),1,0)</f>
        <v>0</v>
      </c>
      <c r="AA116" s="75">
        <f>IF(AND(AA110&gt;AC110,$AL93&gt;8,ISNUMBER(AA110),ISNUMBER(AC110)),1,0)</f>
        <v>0</v>
      </c>
      <c r="AB116" s="75"/>
      <c r="AC116" s="76">
        <f>IF(AND(AC110&gt;AA110,$AL93&gt;8,ISNUMBER(AA110),ISNUMBER(AC110)),1,0)</f>
        <v>0</v>
      </c>
      <c r="AD116" s="75">
        <f>IF(AND(AD110&gt;AF110,$AL93&gt;9,ISNUMBER(AD110),ISNUMBER(AF110)),1,0)</f>
        <v>0</v>
      </c>
      <c r="AE116" s="75"/>
      <c r="AF116" s="76">
        <f>IF(AND(AF110&gt;AD110,$AL93&gt;9,ISNUMBER(AD110),ISNUMBER(AF110)),1,0)</f>
        <v>0</v>
      </c>
    </row>
    <row r="117" spans="1:44" s="74" customFormat="1" ht="12.75" hidden="1" customHeight="1" x14ac:dyDescent="0.25">
      <c r="A117" s="74" t="s">
        <v>54</v>
      </c>
      <c r="B117" s="75">
        <f>IF(AND(B111&gt;D111,$AL93&gt;0,$AL92&gt;1,ISNUMBER(B111),ISNUMBER(D111)),1,0)</f>
        <v>0</v>
      </c>
      <c r="C117" s="75"/>
      <c r="D117" s="76">
        <f>IF(AND(D111&gt;B111,$AL93&gt;0,$AL92&gt;1,ISNUMBER(B111),ISNUMBER(D111)),1,0)</f>
        <v>0</v>
      </c>
      <c r="E117" s="75">
        <f>IF(AND(E111&gt;G111,$AL93&gt;1,$AL92&gt;1,ISNUMBER(E111),ISNUMBER(G111)),1,0)</f>
        <v>0</v>
      </c>
      <c r="F117" s="75"/>
      <c r="G117" s="76">
        <f>IF(AND(G111&gt;E111,$AL93&gt;1,$AL92&gt;1,ISNUMBER(E111),ISNUMBER(G111)),1,0)</f>
        <v>0</v>
      </c>
      <c r="H117" s="75">
        <f>IF(AND(H111&gt;J111,$AL93&gt;2,$AL92&gt;1,ISNUMBER(H111),ISNUMBER(J111)),1,0)</f>
        <v>0</v>
      </c>
      <c r="I117" s="75"/>
      <c r="J117" s="76">
        <f>IF(AND(J111&gt;H111,$AL93&gt;2,$AL92&gt;1,ISNUMBER(H111),ISNUMBER(J111)),1,0)</f>
        <v>0</v>
      </c>
      <c r="K117" s="77"/>
      <c r="L117" s="75">
        <f>IF(AND(L111&gt;N111,$AL93&gt;3,$AL92&gt;1,ISNUMBER(L111),ISNUMBER(N111)),1,0)</f>
        <v>0</v>
      </c>
      <c r="M117" s="75"/>
      <c r="N117" s="76">
        <f>IF(AND(N111&gt;L111,$AL93&gt;3,$AL92&gt;1,ISNUMBER(L111),ISNUMBER(N111)),1,0)</f>
        <v>0</v>
      </c>
      <c r="O117" s="75">
        <f>IF(AND(O111&gt;Q111,$AL93&gt;4,$AL92&gt;1,ISNUMBER(O111),ISNUMBER(Q111)),1,0)</f>
        <v>0</v>
      </c>
      <c r="P117" s="75"/>
      <c r="Q117" s="76">
        <f>IF(AND(Q111&gt;O111,$AL93&gt;4,$AL92&gt;1,ISNUMBER(O111),ISNUMBER(Q111)),1,0)</f>
        <v>0</v>
      </c>
      <c r="R117" s="75">
        <f>IF(AND(R111&gt;T111,$AL93&gt;5,$AL92&gt;1,ISNUMBER(R111),ISNUMBER(T111)),1,0)</f>
        <v>0</v>
      </c>
      <c r="S117" s="75"/>
      <c r="T117" s="76">
        <f>IF(AND(T111&gt;R111,$AL93&gt;5,$AL92&gt;1,ISNUMBER(R111),ISNUMBER(T111)),1,0)</f>
        <v>0</v>
      </c>
      <c r="U117" s="75">
        <f>IF(AND(U111&gt;W111,$AL93&gt;6,$AL92&gt;1,ISNUMBER(U111),ISNUMBER(W111)),1,0)</f>
        <v>0</v>
      </c>
      <c r="V117" s="75"/>
      <c r="W117" s="76">
        <f>IF(AND(W111&gt;U111,$AL93&gt;6,$AL92&gt;1,ISNUMBER(U111),ISNUMBER(W111)),1,0)</f>
        <v>0</v>
      </c>
      <c r="X117" s="75">
        <f>IF(AND(X111&gt;Z111,$AL93&gt;7,$AL92&gt;1,ISNUMBER(X111),ISNUMBER(Z111)),1,0)</f>
        <v>0</v>
      </c>
      <c r="Y117" s="75"/>
      <c r="Z117" s="76">
        <f>IF(AND(Z111&gt;X111,$AL93&gt;7,$AL92&gt;1,ISNUMBER(X111),ISNUMBER(Z111)),1,0)</f>
        <v>0</v>
      </c>
      <c r="AA117" s="75">
        <f>IF(AND(AA111&gt;AC111,$AL93&gt;8,$AL92&gt;1,ISNUMBER(AA111),ISNUMBER(AC111)),1,0)</f>
        <v>0</v>
      </c>
      <c r="AB117" s="75"/>
      <c r="AC117" s="76">
        <f>IF(AND(AC111&gt;AA111,$AL93&gt;8,$AL92&gt;1,ISNUMBER(AA111),ISNUMBER(AC111)),1,0)</f>
        <v>0</v>
      </c>
      <c r="AD117" s="75">
        <f>IF(AND(AD111&gt;AF111,$AL93&gt;9,$AL92&gt;1,ISNUMBER(AD111),ISNUMBER(AF111)),1,0)</f>
        <v>0</v>
      </c>
      <c r="AE117" s="75"/>
      <c r="AF117" s="76">
        <f>IF(AND(AF111&gt;AD111,$AL93&gt;9,$AL92&gt;1,ISNUMBER(AD111),ISNUMBER(AF111)),1,0)</f>
        <v>0</v>
      </c>
    </row>
    <row r="118" spans="1:44" s="74" customFormat="1" ht="12.75" hidden="1" customHeight="1" x14ac:dyDescent="0.25">
      <c r="A118" s="74" t="s">
        <v>55</v>
      </c>
      <c r="B118" s="75">
        <f>IF(AND(B112&gt;D112,$AL93&gt;0,$AL92&gt;2,ISNUMBER(B112),ISNUMBER(D112)),1,0)</f>
        <v>0</v>
      </c>
      <c r="C118" s="75"/>
      <c r="D118" s="76">
        <f>IF(AND(D112&gt;B112,$AL93&gt;0,$AL92&gt;2,ISNUMBER(B112),ISNUMBER(D112)),1,0)</f>
        <v>0</v>
      </c>
      <c r="E118" s="75">
        <f>IF(AND(E112&gt;G112,$AL93&gt;1,$AL92&gt;2,ISNUMBER(E112),ISNUMBER(G112)),1,0)</f>
        <v>0</v>
      </c>
      <c r="F118" s="75"/>
      <c r="G118" s="76">
        <f>IF(AND(G112&gt;E112,$AL93&gt;1,$AL92&gt;2,ISNUMBER(E112),ISNUMBER(G112)),1,0)</f>
        <v>0</v>
      </c>
      <c r="H118" s="75">
        <f>IF(AND(H112&gt;J112,$AL93&gt;2,$AL92&gt;2,ISNUMBER(H112),ISNUMBER(J112)),1,0)</f>
        <v>0</v>
      </c>
      <c r="I118" s="75"/>
      <c r="J118" s="76">
        <f>IF(AND(J112&gt;H112,$AL93&gt;2,$AL92&gt;2,ISNUMBER(H112),ISNUMBER(J112)),1,0)</f>
        <v>0</v>
      </c>
      <c r="K118" s="77"/>
      <c r="L118" s="75">
        <f>IF(AND(L112&gt;N112,$AL93&gt;3,$AL92&gt;2,ISNUMBER(L112),ISNUMBER(N112)),1,0)</f>
        <v>0</v>
      </c>
      <c r="M118" s="75"/>
      <c r="N118" s="76">
        <f>IF(AND(N112&gt;L112,$AL93&gt;3,$AL92&gt;2,ISNUMBER(L112),ISNUMBER(N112)),1,0)</f>
        <v>0</v>
      </c>
      <c r="O118" s="75">
        <f>IF(AND(O112&gt;Q112,$AL93&gt;4,$AL92&gt;2,ISNUMBER(O112),ISNUMBER(Q112)),1,0)</f>
        <v>0</v>
      </c>
      <c r="P118" s="75"/>
      <c r="Q118" s="76">
        <f>IF(AND(Q112&gt;O112,$AL93&gt;4,$AL92&gt;2,ISNUMBER(O112),ISNUMBER(Q112)),1,0)</f>
        <v>0</v>
      </c>
      <c r="R118" s="75">
        <f>IF(AND(R112&gt;T112,$AL93&gt;5,$AL92&gt;2,ISNUMBER(R112),ISNUMBER(T112)),1,0)</f>
        <v>0</v>
      </c>
      <c r="S118" s="75"/>
      <c r="T118" s="76">
        <f>IF(AND(T112&gt;R112,$AL93&gt;5,$AL92&gt;2,ISNUMBER(R112),ISNUMBER(T112)),1,0)</f>
        <v>0</v>
      </c>
      <c r="U118" s="75">
        <f>IF(AND(U112&gt;W112,$AL93&gt;6,$AL92&gt;2,ISNUMBER(U112),ISNUMBER(W112)),1,0)</f>
        <v>0</v>
      </c>
      <c r="V118" s="75"/>
      <c r="W118" s="76">
        <f>IF(AND(W112&gt;U112,$AL93&gt;6,$AL92&gt;2,ISNUMBER(U112),ISNUMBER(W112)),1,0)</f>
        <v>0</v>
      </c>
      <c r="X118" s="75">
        <f>IF(AND(X112&gt;Z112,$AL93&gt;7,$AL92&gt;2,ISNUMBER(X112),ISNUMBER(Z112)),1,0)</f>
        <v>0</v>
      </c>
      <c r="Y118" s="75"/>
      <c r="Z118" s="76">
        <f>IF(AND(Z112&gt;X112,$AL93&gt;7,$AL92&gt;2,ISNUMBER(X112),ISNUMBER(Z112)),1,0)</f>
        <v>0</v>
      </c>
      <c r="AA118" s="75">
        <f>IF(AND(AA112&gt;AC112,$AL93&gt;8,$AL92&gt;2,ISNUMBER(AA112),ISNUMBER(AC112)),1,0)</f>
        <v>0</v>
      </c>
      <c r="AB118" s="75"/>
      <c r="AC118" s="76">
        <f>IF(AND(AC112&gt;AA112,$AL93&gt;8,$AL92&gt;2,ISNUMBER(AA112),ISNUMBER(AC112)),1,0)</f>
        <v>0</v>
      </c>
      <c r="AD118" s="75">
        <f>IF(AND(AD112&gt;AF112,$AL93&gt;9,$AL92&gt;2,ISNUMBER(AD112),ISNUMBER(AF112)),1,0)</f>
        <v>0</v>
      </c>
      <c r="AE118" s="75"/>
      <c r="AF118" s="76">
        <f>IF(AND(AF112&gt;AD112,$AL93&gt;9,$AL92&gt;2,ISNUMBER(AD112),ISNUMBER(AF112)),1,0)</f>
        <v>0</v>
      </c>
    </row>
    <row r="119" spans="1:44" s="74" customFormat="1" ht="12.75" hidden="1" customHeight="1" x14ac:dyDescent="0.25">
      <c r="A119" s="74" t="s">
        <v>56</v>
      </c>
      <c r="B119" s="75">
        <f>IF(AND(B113&gt;D113,$AL93&gt;0,$AL92&gt;3,ISNUMBER(B113),ISNUMBER(D113)),1,0)</f>
        <v>0</v>
      </c>
      <c r="C119" s="75"/>
      <c r="D119" s="76">
        <f>IF(AND(D113&gt;B113,$AL93&gt;0,$AL92&gt;3,ISNUMBER(B113),ISNUMBER(D113)),1,0)</f>
        <v>0</v>
      </c>
      <c r="E119" s="75">
        <f>IF(AND(E113&gt;G113,$AL93&gt;1,$AL92&gt;3,ISNUMBER(E113),ISNUMBER(G113)),1,0)</f>
        <v>0</v>
      </c>
      <c r="F119" s="75"/>
      <c r="G119" s="76">
        <f>IF(AND(G113&gt;E113,$AL93&gt;1,$AL92&gt;3,ISNUMBER(E113),ISNUMBER(G113)),1,0)</f>
        <v>0</v>
      </c>
      <c r="H119" s="75">
        <f>IF(AND(H113&gt;J113,$AL93&gt;2,$AL92&gt;3,ISNUMBER(H113),ISNUMBER(J113)),1,0)</f>
        <v>0</v>
      </c>
      <c r="I119" s="75"/>
      <c r="J119" s="76">
        <f>IF(AND(J113&gt;H113,$AL93&gt;2,$AL92&gt;3,ISNUMBER(H113),ISNUMBER(J113)),1,0)</f>
        <v>0</v>
      </c>
      <c r="K119" s="77"/>
      <c r="L119" s="75">
        <f>IF(AND(L113&gt;N113,$AL93&gt;3,$AL92&gt;3,ISNUMBER(L113),ISNUMBER(N113)),1,0)</f>
        <v>0</v>
      </c>
      <c r="M119" s="75"/>
      <c r="N119" s="76">
        <f>IF(AND(N113&gt;L113,$AL93&gt;3,$AL92&gt;3,ISNUMBER(L113),ISNUMBER(N113)),1,0)</f>
        <v>0</v>
      </c>
      <c r="O119" s="75">
        <f>IF(AND(O113&gt;Q113,$AL93&gt;4,$AL92&gt;3,ISNUMBER(O113),ISNUMBER(Q113)),1,0)</f>
        <v>0</v>
      </c>
      <c r="P119" s="75"/>
      <c r="Q119" s="76">
        <f>IF(AND(Q113&gt;O113,$AL93&gt;4,$AL92&gt;3,ISNUMBER(O113),ISNUMBER(Q113)),1,0)</f>
        <v>0</v>
      </c>
      <c r="R119" s="75">
        <f>IF(AND(R113&gt;T113,$AL93&gt;5,$AL92&gt;3,ISNUMBER(R113),ISNUMBER(T113)),1,0)</f>
        <v>0</v>
      </c>
      <c r="S119" s="75"/>
      <c r="T119" s="76">
        <f>IF(AND(T113&gt;R113,$AL93&gt;5,$AL92&gt;3,ISNUMBER(R113),ISNUMBER(T113)),1,0)</f>
        <v>0</v>
      </c>
      <c r="U119" s="75">
        <f>IF(AND(U113&gt;W113,$AL93&gt;6,$AL92&gt;3,ISNUMBER(U113),ISNUMBER(W113)),1,0)</f>
        <v>0</v>
      </c>
      <c r="V119" s="75"/>
      <c r="W119" s="76">
        <f>IF(AND(W113&gt;U113,$AL93&gt;6,$AL92&gt;3,ISNUMBER(U113),ISNUMBER(W113)),1,0)</f>
        <v>0</v>
      </c>
      <c r="X119" s="75">
        <f>IF(AND(X113&gt;Z113,$AL93&gt;7,$AL92&gt;3,ISNUMBER(X113),ISNUMBER(Z113)),1,0)</f>
        <v>0</v>
      </c>
      <c r="Y119" s="75"/>
      <c r="Z119" s="76">
        <f>IF(AND(Z113&gt;X113,$AL93&gt;7,$AL92&gt;3,ISNUMBER(X113),ISNUMBER(Z113)),1,0)</f>
        <v>0</v>
      </c>
      <c r="AA119" s="75">
        <f>IF(AND(AA113&gt;AC113,$AL93&gt;8,$AL92&gt;3,ISNUMBER(AA113),ISNUMBER(AC113)),1,0)</f>
        <v>0</v>
      </c>
      <c r="AB119" s="75"/>
      <c r="AC119" s="76">
        <f>IF(AND(AC113&gt;AA113,$AL93&gt;8,$AL92&gt;3,ISNUMBER(AA113),ISNUMBER(AC113)),1,0)</f>
        <v>0</v>
      </c>
      <c r="AD119" s="75">
        <f>IF(AND(AD113&gt;AF113,$AL93&gt;9,$AL92&gt;3,ISNUMBER(AD113),ISNUMBER(AF113)),1,0)</f>
        <v>0</v>
      </c>
      <c r="AE119" s="75"/>
      <c r="AF119" s="76">
        <f>IF(AND(AF113&gt;AD113,$AL93&gt;9,$AL92&gt;3,ISNUMBER(AD113),ISNUMBER(AF113)),1,0)</f>
        <v>0</v>
      </c>
    </row>
    <row r="120" spans="1:44" s="74" customFormat="1" ht="12.75" hidden="1" customHeight="1" x14ac:dyDescent="0.25">
      <c r="A120" s="74" t="s">
        <v>57</v>
      </c>
      <c r="B120" s="75">
        <f>IF(AND(B114&gt;D114,$AL93&gt;0,$AL92&gt;4,ISNUMBER(B114),ISNUMBER(D114)),1,0)</f>
        <v>0</v>
      </c>
      <c r="C120" s="75"/>
      <c r="D120" s="76">
        <f>IF(AND(D114&gt;B114,$AL93&gt;0,$AL92&gt;4,ISNUMBER(B114),ISNUMBER(D114)),1,0)</f>
        <v>0</v>
      </c>
      <c r="E120" s="75">
        <f>IF(AND(E114&gt;G114,$AL93&gt;1,$AL92&gt;4,ISNUMBER(E114),ISNUMBER(G114)),1,0)</f>
        <v>0</v>
      </c>
      <c r="F120" s="75"/>
      <c r="G120" s="76">
        <f>IF(AND(G114&gt;E114,$AL93&gt;1,$AL92&gt;4,ISNUMBER(E114),ISNUMBER(G114)),1,0)</f>
        <v>0</v>
      </c>
      <c r="H120" s="75">
        <f>IF(AND(H114&gt;J114,$AL93&gt;2,$AL92&gt;4,ISNUMBER(H114),ISNUMBER(J114)),1,0)</f>
        <v>0</v>
      </c>
      <c r="I120" s="75"/>
      <c r="J120" s="76">
        <f>IF(AND(J114&gt;H114,$AL93&gt;2,$AL92&gt;4,ISNUMBER(H114),ISNUMBER(J114)),1,0)</f>
        <v>0</v>
      </c>
      <c r="K120" s="77"/>
      <c r="L120" s="75">
        <f>IF(AND(L114&gt;N114,$AL93&gt;3,$AL92&gt;4,ISNUMBER(L114),ISNUMBER(N114)),1,0)</f>
        <v>0</v>
      </c>
      <c r="M120" s="75"/>
      <c r="N120" s="76">
        <f>IF(AND(N114&gt;L114,$AL93&gt;3,$AL92&gt;4,ISNUMBER(L114),ISNUMBER(N114)),1,0)</f>
        <v>0</v>
      </c>
      <c r="O120" s="75">
        <f>IF(AND(O114&gt;Q114,$AL93&gt;4,$AL92&gt;4,ISNUMBER(O114),ISNUMBER(Q114)),1,0)</f>
        <v>0</v>
      </c>
      <c r="P120" s="75"/>
      <c r="Q120" s="76">
        <f>IF(AND(Q114&gt;O114,$AL93&gt;4,$AL92&gt;4,ISNUMBER(O114),ISNUMBER(Q114)),1,0)</f>
        <v>0</v>
      </c>
      <c r="R120" s="75">
        <f>IF(AND(R114&gt;T114,$AL93&gt;5,$AL92&gt;4,ISNUMBER(R114),ISNUMBER(T114)),1,0)</f>
        <v>0</v>
      </c>
      <c r="S120" s="75"/>
      <c r="T120" s="76">
        <f>IF(AND(T114&gt;R114,$AL93&gt;5,$AL92&gt;4,ISNUMBER(R114),ISNUMBER(T114)),1,0)</f>
        <v>0</v>
      </c>
      <c r="U120" s="75">
        <f>IF(AND(U114&gt;W114,$AL93&gt;6,$AL92&gt;4,ISNUMBER(U114),ISNUMBER(W114)),1,0)</f>
        <v>0</v>
      </c>
      <c r="V120" s="75"/>
      <c r="W120" s="76">
        <f>IF(AND(W114&gt;U114,$AL93&gt;6,$AL92&gt;4,ISNUMBER(U114),ISNUMBER(W114)),1,0)</f>
        <v>0</v>
      </c>
      <c r="X120" s="75">
        <f>IF(AND(X114&gt;Z114,$AL93&gt;7,$AL92&gt;4,ISNUMBER(X114),ISNUMBER(Z114)),1,0)</f>
        <v>0</v>
      </c>
      <c r="Y120" s="75"/>
      <c r="Z120" s="76">
        <f>IF(AND(Z114&gt;X114,$AL93&gt;7,$AL92&gt;4,ISNUMBER(X114),ISNUMBER(Z114)),1,0)</f>
        <v>0</v>
      </c>
      <c r="AA120" s="75">
        <f>IF(AND(AA114&gt;AC114,$AL93&gt;8,$AL92&gt;4,ISNUMBER(AA114),ISNUMBER(AC114)),1,0)</f>
        <v>0</v>
      </c>
      <c r="AB120" s="75"/>
      <c r="AC120" s="76">
        <f>IF(AND(AC114&gt;AA114,$AL93&gt;8,$AL92&gt;4,ISNUMBER(AA114),ISNUMBER(AC114)),1,0)</f>
        <v>0</v>
      </c>
      <c r="AD120" s="75">
        <f>IF(AND(AD114&gt;AF114,$AL93&gt;9,$AL92&gt;4,ISNUMBER(AD114),ISNUMBER(AF114)),1,0)</f>
        <v>0</v>
      </c>
      <c r="AE120" s="75"/>
      <c r="AF120" s="76">
        <f>IF(AND(AF114&gt;AD114,$AL93&gt;9,$AL92&gt;4,ISNUMBER(AD114),ISNUMBER(AF114)),1,0)</f>
        <v>0</v>
      </c>
    </row>
    <row r="121" spans="1:44" s="74" customFormat="1" ht="38.25" hidden="1" customHeight="1" x14ac:dyDescent="0.25">
      <c r="A121" s="78" t="s">
        <v>58</v>
      </c>
      <c r="B121" s="74">
        <f>SUM(B116:B120)</f>
        <v>0</v>
      </c>
      <c r="D121" s="77">
        <f>SUM(D116:D120)</f>
        <v>1</v>
      </c>
      <c r="E121" s="74">
        <f>SUM(E116:E120)</f>
        <v>0</v>
      </c>
      <c r="G121" s="77">
        <f>SUM(G116:G120)</f>
        <v>1</v>
      </c>
      <c r="H121" s="74">
        <f>SUM(H116:H120)</f>
        <v>0</v>
      </c>
      <c r="J121" s="77">
        <f>SUM(J116:J120)</f>
        <v>1</v>
      </c>
      <c r="K121" s="77"/>
      <c r="L121" s="74">
        <f>SUM(L116:L120)</f>
        <v>0</v>
      </c>
      <c r="N121" s="77">
        <f>SUM(N116:N120)</f>
        <v>1</v>
      </c>
      <c r="O121" s="74">
        <f>SUM(O116:O120)</f>
        <v>0</v>
      </c>
      <c r="Q121" s="77">
        <f>SUM(Q116:Q120)</f>
        <v>1</v>
      </c>
      <c r="R121" s="74">
        <f>SUM(R116:R120)</f>
        <v>1</v>
      </c>
      <c r="T121" s="77">
        <f>SUM(T116:T120)</f>
        <v>0</v>
      </c>
      <c r="U121" s="74">
        <f>SUM(U116:U120)</f>
        <v>0</v>
      </c>
      <c r="W121" s="77">
        <f>SUM(W116:W120)</f>
        <v>0</v>
      </c>
      <c r="X121" s="74">
        <f>SUM(X116:X120)</f>
        <v>0</v>
      </c>
      <c r="Z121" s="77">
        <f>SUM(Z116:Z120)</f>
        <v>0</v>
      </c>
      <c r="AA121" s="74">
        <f>SUM(AA116:AA120)</f>
        <v>0</v>
      </c>
      <c r="AC121" s="77">
        <f>SUM(AC116:AC120)</f>
        <v>0</v>
      </c>
      <c r="AD121" s="74">
        <f>SUM(AD116:AD120)</f>
        <v>0</v>
      </c>
      <c r="AF121" s="77">
        <f>SUM(AF116:AF120)</f>
        <v>0</v>
      </c>
    </row>
    <row r="122" spans="1:44" s="74" customFormat="1" ht="25.5" hidden="1" customHeight="1" x14ac:dyDescent="0.25">
      <c r="A122" s="78" t="s">
        <v>59</v>
      </c>
      <c r="B122" s="74">
        <f>IF(B121&gt;D121,IF(C156=AL92,1,IF(C156=AL92-1,1,0)),0)</f>
        <v>0</v>
      </c>
      <c r="C122" s="74">
        <f>B122+D122</f>
        <v>1</v>
      </c>
      <c r="D122" s="77">
        <f>IF(D121&gt;B121,IF(C156=AL92,1,IF(C156=AL92-1,1,0)),0)</f>
        <v>1</v>
      </c>
      <c r="E122" s="74">
        <f>IF(E121&gt;G121,IF(F156=AL92,1,IF(F156=AL92-1,1,0)),0)</f>
        <v>0</v>
      </c>
      <c r="F122" s="74">
        <f>E122+G122</f>
        <v>1</v>
      </c>
      <c r="G122" s="77">
        <f>IF(G121&gt;E121,IF(F156=AL92,1,IF(F156=AL92-1,1,0)),0)</f>
        <v>1</v>
      </c>
      <c r="H122" s="74">
        <f>IF(H121&gt;J121,IF(I156=AL92,1,IF(I156=AL92-1,1,0)),0)</f>
        <v>0</v>
      </c>
      <c r="I122" s="74">
        <f>H122+J122</f>
        <v>1</v>
      </c>
      <c r="J122" s="77">
        <f>IF(J121&gt;H121,IF(I156=AL92,1,IF(I156=AL92-1,1,0)),0)</f>
        <v>1</v>
      </c>
      <c r="K122" s="77"/>
      <c r="L122" s="74">
        <f>IF(L121&gt;N121,IF(M156=AL92,1,IF(M156=AL92-1,1,0)),0)</f>
        <v>0</v>
      </c>
      <c r="M122" s="74">
        <f>L122+N122</f>
        <v>1</v>
      </c>
      <c r="N122" s="77">
        <f>IF(N121&gt;L121,IF(M156=AL92,1,IF(M156=AL92-1,1,0)),0)</f>
        <v>1</v>
      </c>
      <c r="O122" s="74">
        <f>IF(O121&gt;Q121,IF(P156=AL92,1,IF(P156=AL92-1,1,0)),0)</f>
        <v>0</v>
      </c>
      <c r="P122" s="74">
        <f>O122+Q122</f>
        <v>1</v>
      </c>
      <c r="Q122" s="77">
        <f>IF(Q121&gt;O121,IF(P156=AL92,1,IF(P156=AL92-1,1,0)),0)</f>
        <v>1</v>
      </c>
      <c r="R122" s="74">
        <f>IF(R121&gt;T121,IF(S156=AL92,1,IF(S156=AL92-1,1,0)),0)</f>
        <v>1</v>
      </c>
      <c r="S122" s="74">
        <f>R122+T122</f>
        <v>1</v>
      </c>
      <c r="T122" s="77">
        <f>IF(T121&gt;R121,IF(S156=AL92,1,IF(S156=AL92-1,1,0)),0)</f>
        <v>0</v>
      </c>
      <c r="U122" s="74">
        <f>IF(U121&gt;W121,IF(V156=AL92,1,IF(V156=AL92-1,1,0)),0)</f>
        <v>0</v>
      </c>
      <c r="V122" s="74">
        <f>U122+W122</f>
        <v>0</v>
      </c>
      <c r="W122" s="77">
        <f>IF(W121&gt;U121,IF(V156=AL92,1,IF(V156=AL92-1,1,0)),0)</f>
        <v>0</v>
      </c>
      <c r="X122" s="74">
        <f>IF(X121&gt;Z121,IF(Y156=AL92,1,IF(Y156=AL92-1,1,0)),0)</f>
        <v>0</v>
      </c>
      <c r="Y122" s="74">
        <f>X122+Z122</f>
        <v>0</v>
      </c>
      <c r="Z122" s="77">
        <f>IF(Z121&gt;X121,IF(Y156=AL92,1,IF(Y156=AL92-1,1,0)),0)</f>
        <v>0</v>
      </c>
      <c r="AA122" s="74">
        <f>IF(AA121&gt;AC121,IF(AB156=AL92,1,IF(AB156=AL92-1,1,0)),0)</f>
        <v>0</v>
      </c>
      <c r="AB122" s="74">
        <f>AA122+AC122</f>
        <v>0</v>
      </c>
      <c r="AC122" s="77">
        <f>IF(AC121&gt;AA121,IF(AB156=AL92,1,IF(AB156=AL92-1,1,0)),0)</f>
        <v>0</v>
      </c>
      <c r="AD122" s="74">
        <f>IF(AD121&gt;AF121,IF(AE156=AL92,1,IF(AE156=AL92-1,1,0)),0)</f>
        <v>0</v>
      </c>
      <c r="AE122" s="74">
        <f>AD122+AF122</f>
        <v>0</v>
      </c>
      <c r="AF122" s="77">
        <f>IF(AF121&gt;AD121,IF(AE156=AL92,1,IF(AE156=AL92-1,1,0)),0)</f>
        <v>0</v>
      </c>
    </row>
    <row r="123" spans="1:44" s="74" customFormat="1" ht="25.5" hidden="1" customHeight="1" x14ac:dyDescent="0.25">
      <c r="A123" s="78"/>
      <c r="D123" s="77"/>
      <c r="G123" s="77"/>
      <c r="J123" s="77"/>
      <c r="K123" s="77"/>
      <c r="N123" s="77"/>
      <c r="Q123" s="77"/>
      <c r="T123" s="77"/>
      <c r="W123" s="77"/>
      <c r="Z123" s="77"/>
      <c r="AC123" s="77"/>
      <c r="AF123" s="77"/>
    </row>
    <row r="124" spans="1:44" s="74" customFormat="1" ht="12.75" hidden="1" customHeight="1" x14ac:dyDescent="0.25">
      <c r="A124" s="74" t="s">
        <v>60</v>
      </c>
      <c r="B124" s="74">
        <f>IF(B116=1,B110,0)</f>
        <v>0</v>
      </c>
      <c r="D124" s="77">
        <f t="shared" ref="D124:E128" si="10">IF(D116=1,D110,0)</f>
        <v>30</v>
      </c>
      <c r="E124" s="74">
        <f t="shared" si="10"/>
        <v>0</v>
      </c>
      <c r="G124" s="77">
        <f t="shared" ref="G124:H128" si="11">IF(G116=1,G110,0)</f>
        <v>29</v>
      </c>
      <c r="H124" s="74">
        <f t="shared" si="11"/>
        <v>0</v>
      </c>
      <c r="J124" s="77">
        <f>IF(J116=1,J110,0)</f>
        <v>33</v>
      </c>
      <c r="K124" s="77"/>
      <c r="L124" s="74">
        <f>IF(L116=1,L110,0)</f>
        <v>0</v>
      </c>
      <c r="N124" s="77">
        <f t="shared" ref="N124:O128" si="12">IF(N116=1,N110,0)</f>
        <v>30</v>
      </c>
      <c r="O124" s="74">
        <f t="shared" si="12"/>
        <v>0</v>
      </c>
      <c r="Q124" s="77">
        <f t="shared" ref="Q124:R128" si="13">IF(Q116=1,Q110,0)</f>
        <v>27</v>
      </c>
      <c r="R124" s="74">
        <f t="shared" si="13"/>
        <v>35</v>
      </c>
      <c r="T124" s="77">
        <f t="shared" ref="T124:U128" si="14">IF(T116=1,T110,0)</f>
        <v>0</v>
      </c>
      <c r="U124" s="74">
        <f t="shared" si="14"/>
        <v>0</v>
      </c>
      <c r="W124" s="77">
        <f t="shared" ref="W124:X128" si="15">IF(W116=1,W110,0)</f>
        <v>0</v>
      </c>
      <c r="X124" s="74">
        <f t="shared" si="15"/>
        <v>0</v>
      </c>
      <c r="Z124" s="77">
        <f t="shared" ref="Z124:AA128" si="16">IF(Z116=1,Z110,0)</f>
        <v>0</v>
      </c>
      <c r="AA124" s="74">
        <f t="shared" si="16"/>
        <v>0</v>
      </c>
      <c r="AC124" s="77">
        <f t="shared" ref="AC124:AD128" si="17">IF(AC116=1,AC110,0)</f>
        <v>0</v>
      </c>
      <c r="AD124" s="74">
        <f t="shared" si="17"/>
        <v>0</v>
      </c>
      <c r="AF124" s="77">
        <f>IF(AF116=1,AF110,0)</f>
        <v>0</v>
      </c>
    </row>
    <row r="125" spans="1:44" s="74" customFormat="1" ht="12.75" hidden="1" customHeight="1" x14ac:dyDescent="0.25">
      <c r="A125" s="74" t="s">
        <v>61</v>
      </c>
      <c r="B125" s="74">
        <f>IF(B117=1,B111,0)</f>
        <v>0</v>
      </c>
      <c r="D125" s="77">
        <f t="shared" si="10"/>
        <v>0</v>
      </c>
      <c r="E125" s="74">
        <f t="shared" si="10"/>
        <v>0</v>
      </c>
      <c r="G125" s="77">
        <f t="shared" si="11"/>
        <v>0</v>
      </c>
      <c r="H125" s="74">
        <f t="shared" si="11"/>
        <v>0</v>
      </c>
      <c r="J125" s="77">
        <f>IF(J117=1,J111,0)</f>
        <v>0</v>
      </c>
      <c r="K125" s="77"/>
      <c r="L125" s="74">
        <f>IF(L117=1,L111,0)</f>
        <v>0</v>
      </c>
      <c r="N125" s="77">
        <f t="shared" si="12"/>
        <v>0</v>
      </c>
      <c r="O125" s="74">
        <f t="shared" si="12"/>
        <v>0</v>
      </c>
      <c r="Q125" s="77">
        <f t="shared" si="13"/>
        <v>0</v>
      </c>
      <c r="R125" s="74">
        <f t="shared" si="13"/>
        <v>0</v>
      </c>
      <c r="T125" s="77">
        <f t="shared" si="14"/>
        <v>0</v>
      </c>
      <c r="U125" s="74">
        <f t="shared" si="14"/>
        <v>0</v>
      </c>
      <c r="W125" s="77">
        <f t="shared" si="15"/>
        <v>0</v>
      </c>
      <c r="X125" s="74">
        <f t="shared" si="15"/>
        <v>0</v>
      </c>
      <c r="Z125" s="77">
        <f t="shared" si="16"/>
        <v>0</v>
      </c>
      <c r="AA125" s="74">
        <f t="shared" si="16"/>
        <v>0</v>
      </c>
      <c r="AC125" s="77">
        <f t="shared" si="17"/>
        <v>0</v>
      </c>
      <c r="AD125" s="74">
        <f t="shared" si="17"/>
        <v>0</v>
      </c>
      <c r="AF125" s="77">
        <f>IF(AF117=1,AF111,0)</f>
        <v>0</v>
      </c>
    </row>
    <row r="126" spans="1:44" s="74" customFormat="1" ht="12.75" hidden="1" customHeight="1" x14ac:dyDescent="0.25">
      <c r="A126" s="74" t="s">
        <v>62</v>
      </c>
      <c r="B126" s="74">
        <f>IF(B118=1,B112,0)</f>
        <v>0</v>
      </c>
      <c r="D126" s="77">
        <f t="shared" si="10"/>
        <v>0</v>
      </c>
      <c r="E126" s="74">
        <f t="shared" si="10"/>
        <v>0</v>
      </c>
      <c r="G126" s="77">
        <f t="shared" si="11"/>
        <v>0</v>
      </c>
      <c r="H126" s="74">
        <f t="shared" si="11"/>
        <v>0</v>
      </c>
      <c r="J126" s="77">
        <f>IF(J118=1,J112,0)</f>
        <v>0</v>
      </c>
      <c r="K126" s="77"/>
      <c r="L126" s="74">
        <f>IF(L118=1,L112,0)</f>
        <v>0</v>
      </c>
      <c r="N126" s="77">
        <f t="shared" si="12"/>
        <v>0</v>
      </c>
      <c r="O126" s="74">
        <f t="shared" si="12"/>
        <v>0</v>
      </c>
      <c r="Q126" s="77">
        <f t="shared" si="13"/>
        <v>0</v>
      </c>
      <c r="R126" s="74">
        <f t="shared" si="13"/>
        <v>0</v>
      </c>
      <c r="T126" s="77">
        <f t="shared" si="14"/>
        <v>0</v>
      </c>
      <c r="U126" s="74">
        <f t="shared" si="14"/>
        <v>0</v>
      </c>
      <c r="W126" s="77">
        <f t="shared" si="15"/>
        <v>0</v>
      </c>
      <c r="X126" s="74">
        <f t="shared" si="15"/>
        <v>0</v>
      </c>
      <c r="Z126" s="77">
        <f t="shared" si="16"/>
        <v>0</v>
      </c>
      <c r="AA126" s="74">
        <f t="shared" si="16"/>
        <v>0</v>
      </c>
      <c r="AC126" s="77">
        <f t="shared" si="17"/>
        <v>0</v>
      </c>
      <c r="AD126" s="74">
        <f t="shared" si="17"/>
        <v>0</v>
      </c>
      <c r="AF126" s="77">
        <f>IF(AF118=1,AF112,0)</f>
        <v>0</v>
      </c>
    </row>
    <row r="127" spans="1:44" s="74" customFormat="1" ht="12.75" hidden="1" customHeight="1" x14ac:dyDescent="0.25">
      <c r="A127" s="74" t="s">
        <v>63</v>
      </c>
      <c r="B127" s="74">
        <f>IF(B119=1,B113,0)</f>
        <v>0</v>
      </c>
      <c r="D127" s="77">
        <f t="shared" si="10"/>
        <v>0</v>
      </c>
      <c r="E127" s="74">
        <f t="shared" si="10"/>
        <v>0</v>
      </c>
      <c r="G127" s="77">
        <f t="shared" si="11"/>
        <v>0</v>
      </c>
      <c r="H127" s="74">
        <f t="shared" si="11"/>
        <v>0</v>
      </c>
      <c r="J127" s="77">
        <f>IF(J119=1,J113,0)</f>
        <v>0</v>
      </c>
      <c r="K127" s="77"/>
      <c r="L127" s="74">
        <f>IF(L119=1,L113,0)</f>
        <v>0</v>
      </c>
      <c r="N127" s="77">
        <f t="shared" si="12"/>
        <v>0</v>
      </c>
      <c r="O127" s="74">
        <f t="shared" si="12"/>
        <v>0</v>
      </c>
      <c r="Q127" s="77">
        <f t="shared" si="13"/>
        <v>0</v>
      </c>
      <c r="R127" s="74">
        <f t="shared" si="13"/>
        <v>0</v>
      </c>
      <c r="T127" s="77">
        <f t="shared" si="14"/>
        <v>0</v>
      </c>
      <c r="U127" s="74">
        <f t="shared" si="14"/>
        <v>0</v>
      </c>
      <c r="W127" s="77">
        <f t="shared" si="15"/>
        <v>0</v>
      </c>
      <c r="X127" s="74">
        <f t="shared" si="15"/>
        <v>0</v>
      </c>
      <c r="Z127" s="77">
        <f t="shared" si="16"/>
        <v>0</v>
      </c>
      <c r="AA127" s="74">
        <f t="shared" si="16"/>
        <v>0</v>
      </c>
      <c r="AC127" s="77">
        <f t="shared" si="17"/>
        <v>0</v>
      </c>
      <c r="AD127" s="74">
        <f t="shared" si="17"/>
        <v>0</v>
      </c>
      <c r="AF127" s="77">
        <f>IF(AF119=1,AF113,0)</f>
        <v>0</v>
      </c>
    </row>
    <row r="128" spans="1:44" s="74" customFormat="1" ht="12.75" hidden="1" customHeight="1" x14ac:dyDescent="0.25">
      <c r="A128" s="74" t="s">
        <v>64</v>
      </c>
      <c r="B128" s="74">
        <f>IF(B120=1,B114,0)</f>
        <v>0</v>
      </c>
      <c r="D128" s="77">
        <f t="shared" si="10"/>
        <v>0</v>
      </c>
      <c r="E128" s="74">
        <f t="shared" si="10"/>
        <v>0</v>
      </c>
      <c r="G128" s="77">
        <f t="shared" si="11"/>
        <v>0</v>
      </c>
      <c r="H128" s="74">
        <f t="shared" si="11"/>
        <v>0</v>
      </c>
      <c r="J128" s="77">
        <f>IF(J120=1,J114,0)</f>
        <v>0</v>
      </c>
      <c r="K128" s="77"/>
      <c r="L128" s="74">
        <f>IF(L120=1,L114,0)</f>
        <v>0</v>
      </c>
      <c r="N128" s="77">
        <f t="shared" si="12"/>
        <v>0</v>
      </c>
      <c r="O128" s="74">
        <f t="shared" si="12"/>
        <v>0</v>
      </c>
      <c r="Q128" s="77">
        <f t="shared" si="13"/>
        <v>0</v>
      </c>
      <c r="R128" s="74">
        <f t="shared" si="13"/>
        <v>0</v>
      </c>
      <c r="T128" s="77">
        <f t="shared" si="14"/>
        <v>0</v>
      </c>
      <c r="U128" s="74">
        <f t="shared" si="14"/>
        <v>0</v>
      </c>
      <c r="W128" s="77">
        <f t="shared" si="15"/>
        <v>0</v>
      </c>
      <c r="X128" s="74">
        <f t="shared" si="15"/>
        <v>0</v>
      </c>
      <c r="Z128" s="77">
        <f t="shared" si="16"/>
        <v>0</v>
      </c>
      <c r="AA128" s="74">
        <f t="shared" si="16"/>
        <v>0</v>
      </c>
      <c r="AC128" s="77">
        <f t="shared" si="17"/>
        <v>0</v>
      </c>
      <c r="AD128" s="74">
        <f t="shared" si="17"/>
        <v>0</v>
      </c>
      <c r="AF128" s="77">
        <f>IF(AF120=1,AF114,0)</f>
        <v>0</v>
      </c>
    </row>
    <row r="129" spans="1:38" s="74" customFormat="1" ht="38.25" hidden="1" customHeight="1" x14ac:dyDescent="0.25">
      <c r="A129" s="78" t="s">
        <v>65</v>
      </c>
      <c r="B129" s="74">
        <f>SUM(B124:D128)</f>
        <v>30</v>
      </c>
      <c r="D129" s="77"/>
      <c r="E129" s="74">
        <f>SUM(E124:G128)</f>
        <v>29</v>
      </c>
      <c r="G129" s="77"/>
      <c r="H129" s="74">
        <f>SUM(H124:J128)</f>
        <v>33</v>
      </c>
      <c r="J129" s="77"/>
      <c r="K129" s="77"/>
      <c r="L129" s="74">
        <f>SUM(L124:N128)</f>
        <v>30</v>
      </c>
      <c r="N129" s="77"/>
      <c r="O129" s="74">
        <f>SUM(O124:Q128)</f>
        <v>27</v>
      </c>
      <c r="Q129" s="77"/>
      <c r="R129" s="74">
        <f>SUM(R124:T128)</f>
        <v>35</v>
      </c>
      <c r="T129" s="77"/>
      <c r="U129" s="74">
        <f>SUM(U124:W128)</f>
        <v>0</v>
      </c>
      <c r="W129" s="77"/>
      <c r="X129" s="74">
        <f>SUM(X124:Z128)</f>
        <v>0</v>
      </c>
      <c r="Z129" s="77"/>
      <c r="AA129" s="74">
        <f>SUM(AA124:AC128)</f>
        <v>0</v>
      </c>
      <c r="AC129" s="77"/>
      <c r="AD129" s="74">
        <f>SUM(AD124:AF128)</f>
        <v>0</v>
      </c>
      <c r="AF129" s="77"/>
    </row>
    <row r="130" spans="1:38" s="74" customFormat="1" ht="38.25" hidden="1" customHeight="1" x14ac:dyDescent="0.25">
      <c r="A130" s="74" t="s">
        <v>66</v>
      </c>
      <c r="D130" s="77"/>
      <c r="G130" s="77"/>
      <c r="J130" s="77"/>
      <c r="K130" s="77"/>
      <c r="N130" s="77"/>
      <c r="Q130" s="77"/>
      <c r="T130" s="77"/>
      <c r="W130" s="77"/>
      <c r="Z130" s="77"/>
      <c r="AC130" s="77"/>
      <c r="AF130" s="77"/>
      <c r="AG130" s="78" t="s">
        <v>67</v>
      </c>
      <c r="AH130" s="74" t="s">
        <v>68</v>
      </c>
    </row>
    <row r="131" spans="1:38" s="74" customFormat="1" ht="12.75" hidden="1" customHeight="1" x14ac:dyDescent="0.25">
      <c r="A131" s="74" t="s">
        <v>69</v>
      </c>
      <c r="B131" s="74">
        <f>IF(B109=1,IF(B122=1,1,0),0)</f>
        <v>0</v>
      </c>
      <c r="D131" s="77">
        <f>IF(D109=1,IF(D122=1,1,0),0)</f>
        <v>0</v>
      </c>
      <c r="E131" s="74">
        <f>IF(E109=1,IF(E122=1,1,0),0)</f>
        <v>0</v>
      </c>
      <c r="G131" s="77">
        <f>IF(G109=1,IF(G122=1,1,0),0)</f>
        <v>0</v>
      </c>
      <c r="H131" s="74">
        <f>IF(H109=1,IF(H122=1,1,0),0)</f>
        <v>0</v>
      </c>
      <c r="J131" s="77">
        <f>IF(J109=1,IF(J122=1,1,0),0)</f>
        <v>0</v>
      </c>
      <c r="K131" s="77"/>
      <c r="L131" s="74">
        <f>IF(L109=1,IF(L122=1,1,0),0)</f>
        <v>0</v>
      </c>
      <c r="N131" s="77">
        <f>IF(N109=1,IF(N122=1,1,0),0)</f>
        <v>0</v>
      </c>
      <c r="O131" s="74">
        <f>IF(O109=1,IF(O122=1,1,0),0)</f>
        <v>0</v>
      </c>
      <c r="Q131" s="77">
        <f>IF(Q109=1,IF(Q122=1,1,0),0)</f>
        <v>0</v>
      </c>
      <c r="R131" s="74">
        <f>IF(R109=1,IF(R122=1,1,0),0)</f>
        <v>1</v>
      </c>
      <c r="T131" s="77">
        <f>IF(T109=1,IF(T122=1,1,0),0)</f>
        <v>0</v>
      </c>
      <c r="U131" s="74">
        <f>IF(U109=1,IF(U122=1,1,0),0)</f>
        <v>0</v>
      </c>
      <c r="W131" s="77">
        <f>IF(W109=1,IF(W122=1,1,0),0)</f>
        <v>0</v>
      </c>
      <c r="X131" s="74">
        <f>IF(X109=1,IF(X122=1,1,0),0)</f>
        <v>0</v>
      </c>
      <c r="Z131" s="77">
        <f>IF(Z109=1,IF(Z122=1,1,0),0)</f>
        <v>0</v>
      </c>
      <c r="AA131" s="74">
        <f>IF(AA109=1,IF(AA122=1,1,0),0)</f>
        <v>0</v>
      </c>
      <c r="AC131" s="77">
        <f>IF(AC109=1,IF(AC122=1,1,0),0)</f>
        <v>0</v>
      </c>
      <c r="AD131" s="74">
        <f>IF(AD109=1,IF(AD122=1,1,0),0)</f>
        <v>0</v>
      </c>
      <c r="AF131" s="77">
        <f>IF(AF109=1,IF(AF122=1,1,0),0)</f>
        <v>0</v>
      </c>
      <c r="AG131" s="74">
        <f>SUM(B131:AF131)</f>
        <v>1</v>
      </c>
      <c r="AH131" s="74">
        <f>AG137-AG131</f>
        <v>3</v>
      </c>
    </row>
    <row r="132" spans="1:38" s="74" customFormat="1" ht="12.75" hidden="1" customHeight="1" x14ac:dyDescent="0.25">
      <c r="A132" s="74" t="s">
        <v>70</v>
      </c>
      <c r="B132" s="74">
        <f>IF(B109=2,IF(B122=1,1,0),0)</f>
        <v>0</v>
      </c>
      <c r="D132" s="77">
        <f>IF(D109=2,IF(D122=1,1,0),0)</f>
        <v>0</v>
      </c>
      <c r="E132" s="74">
        <f>IF(E109=2,IF(E122=1,1,0),0)</f>
        <v>0</v>
      </c>
      <c r="G132" s="77">
        <f>IF(G109=2,IF(G122=1,1,0),0)</f>
        <v>0</v>
      </c>
      <c r="H132" s="74">
        <f>IF(H109=2,IF(H122=1,1,0),0)</f>
        <v>0</v>
      </c>
      <c r="J132" s="77">
        <f>IF(J109=2,IF(J122=1,1,0),0)</f>
        <v>1</v>
      </c>
      <c r="K132" s="77"/>
      <c r="L132" s="74">
        <f>IF(L109=2,IF(L122=1,1,0),0)</f>
        <v>0</v>
      </c>
      <c r="N132" s="77">
        <f>IF(N109=2,IF(N122=1,1,0),0)</f>
        <v>0</v>
      </c>
      <c r="O132" s="74">
        <f>IF(O109=2,IF(O122=1,1,0),0)</f>
        <v>0</v>
      </c>
      <c r="Q132" s="77">
        <f>IF(Q109=2,IF(Q122=1,1,0),0)</f>
        <v>0</v>
      </c>
      <c r="R132" s="74">
        <f>IF(R109=2,IF(R122=1,1,0),0)</f>
        <v>0</v>
      </c>
      <c r="T132" s="77">
        <f>IF(T109=2,IF(T122=1,1,0),0)</f>
        <v>0</v>
      </c>
      <c r="U132" s="74">
        <f>IF(U109=2,IF(U122=1,1,0),0)</f>
        <v>0</v>
      </c>
      <c r="W132" s="77">
        <f>IF(W109=2,IF(W122=1,1,0),0)</f>
        <v>0</v>
      </c>
      <c r="X132" s="74">
        <f>IF(X109=2,IF(X122=1,1,0),0)</f>
        <v>0</v>
      </c>
      <c r="Z132" s="77">
        <f>IF(Z109=2,IF(Z122=1,1,0),0)</f>
        <v>0</v>
      </c>
      <c r="AA132" s="74">
        <f>IF(AA109=2,IF(AA122=1,1,0),0)</f>
        <v>0</v>
      </c>
      <c r="AC132" s="77">
        <f>IF(AC109=2,IF(AC122=1,1,0),0)</f>
        <v>0</v>
      </c>
      <c r="AD132" s="74">
        <f>IF(AD109=2,IF(AD122=1,1,0),0)</f>
        <v>0</v>
      </c>
      <c r="AF132" s="77">
        <f>IF(AF109=2,IF(AF122=1,1,0),0)</f>
        <v>0</v>
      </c>
      <c r="AG132" s="74">
        <f>SUM(B132:AF132)</f>
        <v>1</v>
      </c>
      <c r="AH132" s="74">
        <f>AG138-AG132</f>
        <v>3</v>
      </c>
    </row>
    <row r="133" spans="1:38" s="74" customFormat="1" ht="12.75" hidden="1" customHeight="1" x14ac:dyDescent="0.25">
      <c r="A133" s="74" t="s">
        <v>71</v>
      </c>
      <c r="B133" s="74">
        <f>IF(B109=3,IF(B122=1,1,0),0)</f>
        <v>0</v>
      </c>
      <c r="D133" s="77">
        <f>IF(D109=3,IF(D122=1,1,0),0)</f>
        <v>1</v>
      </c>
      <c r="E133" s="74">
        <f>IF(E109=3,IF(E122=1,1,0),0)</f>
        <v>0</v>
      </c>
      <c r="G133" s="77">
        <f>IF(G109=3,IF(G122=1,1,0),0)</f>
        <v>1</v>
      </c>
      <c r="H133" s="74">
        <f>IF(H109=3,IF(H122=1,1,0),0)</f>
        <v>0</v>
      </c>
      <c r="J133" s="77">
        <f>IF(J109=3,IF(J122=1,1,0),0)</f>
        <v>0</v>
      </c>
      <c r="K133" s="77"/>
      <c r="L133" s="74">
        <f>IF(L109=3,IF(L122=1,1,0),0)</f>
        <v>0</v>
      </c>
      <c r="N133" s="77">
        <f>IF(N109=3,IF(N122=1,1,0),0)</f>
        <v>1</v>
      </c>
      <c r="O133" s="74">
        <f>IF(O109=3,IF(O122=1,1,0),0)</f>
        <v>0</v>
      </c>
      <c r="Q133" s="77">
        <f>IF(Q109=3,IF(Q122=1,1,0),0)</f>
        <v>1</v>
      </c>
      <c r="R133" s="74">
        <f>IF(R109=3,IF(R122=1,1,0),0)</f>
        <v>0</v>
      </c>
      <c r="T133" s="77">
        <f>IF(T109=3,IF(T122=1,1,0),0)</f>
        <v>0</v>
      </c>
      <c r="U133" s="74">
        <f>IF(U109=3,IF(U122=1,1,0),0)</f>
        <v>0</v>
      </c>
      <c r="W133" s="77">
        <f>IF(W109=3,IF(W122=1,1,0),0)</f>
        <v>0</v>
      </c>
      <c r="X133" s="74">
        <f>IF(X109=3,IF(X122=1,1,0),0)</f>
        <v>0</v>
      </c>
      <c r="Z133" s="77">
        <f>IF(Z109=3,IF(Z122=1,1,0),0)</f>
        <v>0</v>
      </c>
      <c r="AA133" s="74">
        <f>IF(AA109=3,IF(AA122=1,1,0),0)</f>
        <v>0</v>
      </c>
      <c r="AC133" s="77">
        <f>IF(AC109=3,IF(AC122=1,1,0),0)</f>
        <v>0</v>
      </c>
      <c r="AD133" s="74">
        <f>IF(AD109=3,IF(AD122=1,1,0),0)</f>
        <v>0</v>
      </c>
      <c r="AF133" s="77">
        <f>IF(AF109=3,IF(AF122=1,1,0),0)</f>
        <v>0</v>
      </c>
      <c r="AG133" s="74">
        <f>SUM(B133:AF133)</f>
        <v>4</v>
      </c>
      <c r="AH133" s="74">
        <f>AG139-AG133</f>
        <v>0</v>
      </c>
    </row>
    <row r="134" spans="1:38" s="74" customFormat="1" ht="12.75" hidden="1" customHeight="1" x14ac:dyDescent="0.25">
      <c r="A134" s="74" t="s">
        <v>72</v>
      </c>
      <c r="B134" s="74">
        <f>IF(B109=4,IF(B122=1,1,0),0)</f>
        <v>0</v>
      </c>
      <c r="D134" s="77">
        <f>IF(D109=4,IF(D122=1,1,0),0)</f>
        <v>0</v>
      </c>
      <c r="E134" s="74">
        <f>IF(E109=4,IF(E122=1,1,0),0)</f>
        <v>0</v>
      </c>
      <c r="G134" s="77">
        <f>IF(G109=4,IF(G122=1,1,0),0)</f>
        <v>0</v>
      </c>
      <c r="H134" s="74">
        <f>IF(H109=4,IF(H122=1,1,0),0)</f>
        <v>0</v>
      </c>
      <c r="J134" s="77">
        <f>IF(J109=4,IF(J122=1,1,0),0)</f>
        <v>0</v>
      </c>
      <c r="K134" s="77"/>
      <c r="L134" s="74">
        <f>IF(L109=4,IF(L122=1,1,0),0)</f>
        <v>0</v>
      </c>
      <c r="N134" s="77">
        <f>IF(N109=4,IF(N122=1,1,0),0)</f>
        <v>0</v>
      </c>
      <c r="O134" s="74">
        <f>IF(O109=4,IF(O122=1,1,0),0)</f>
        <v>0</v>
      </c>
      <c r="Q134" s="77">
        <f>IF(Q109=4,IF(Q122=1,1,0),0)</f>
        <v>0</v>
      </c>
      <c r="R134" s="74">
        <f>IF(R109=4,IF(R122=1,1,0),0)</f>
        <v>0</v>
      </c>
      <c r="T134" s="77">
        <f>IF(T109=4,IF(T122=1,1,0),0)</f>
        <v>0</v>
      </c>
      <c r="U134" s="74">
        <f>IF(U109=4,IF(U122=1,1,0),0)</f>
        <v>0</v>
      </c>
      <c r="W134" s="77">
        <f>IF(W109=4,IF(W122=1,1,0),0)</f>
        <v>0</v>
      </c>
      <c r="X134" s="74">
        <f>IF(X109=4,IF(X122=1,1,0),0)</f>
        <v>0</v>
      </c>
      <c r="Z134" s="77">
        <f>IF(Z109=4,IF(Z122=1,1,0),0)</f>
        <v>0</v>
      </c>
      <c r="AA134" s="74">
        <f>IF(AA109=4,IF(AA122=1,1,0),0)</f>
        <v>0</v>
      </c>
      <c r="AC134" s="77">
        <f>IF(AC109=4,IF(AC122=1,1,0),0)</f>
        <v>0</v>
      </c>
      <c r="AD134" s="74">
        <f>IF(AD109=4,IF(AD122=1,1,0),0)</f>
        <v>0</v>
      </c>
      <c r="AF134" s="77">
        <f>IF(AF109=4,IF(AF122=1,1,0),0)</f>
        <v>0</v>
      </c>
      <c r="AG134" s="74">
        <f>SUM(B134:AF134)</f>
        <v>0</v>
      </c>
      <c r="AH134" s="74">
        <f>AG140-AG134</f>
        <v>0</v>
      </c>
    </row>
    <row r="135" spans="1:38" s="74" customFormat="1" ht="12.75" hidden="1" customHeight="1" x14ac:dyDescent="0.25">
      <c r="A135" s="74" t="s">
        <v>73</v>
      </c>
      <c r="B135" s="74">
        <f>IF(B109=5,IF(B122=1,1,0),0)</f>
        <v>0</v>
      </c>
      <c r="D135" s="77">
        <f>IF(D109=5,IF(D122=1,1,0),0)</f>
        <v>0</v>
      </c>
      <c r="E135" s="74">
        <f>IF(E109=5,IF(E122=1,1,0),0)</f>
        <v>0</v>
      </c>
      <c r="G135" s="77">
        <f>IF(G109=5,IF(G122=1,1,0),0)</f>
        <v>0</v>
      </c>
      <c r="H135" s="74">
        <f>IF(H109=5,IF(H122=1,1,0),0)</f>
        <v>0</v>
      </c>
      <c r="J135" s="77">
        <f>IF(J109=5,IF(J122=1,1,0),0)</f>
        <v>0</v>
      </c>
      <c r="K135" s="77"/>
      <c r="L135" s="74">
        <f>IF(L109=5,IF(L122=1,1,0),0)</f>
        <v>0</v>
      </c>
      <c r="N135" s="77">
        <f>IF(N109=5,IF(N122=1,1,0),0)</f>
        <v>0</v>
      </c>
      <c r="O135" s="74">
        <f>IF(O109=5,IF(O122=1,1,0),0)</f>
        <v>0</v>
      </c>
      <c r="Q135" s="77">
        <f>IF(Q109=5,IF(Q122=1,1,0),0)</f>
        <v>0</v>
      </c>
      <c r="R135" s="74">
        <f>IF(R109=5,IF(R122=1,1,0),0)</f>
        <v>0</v>
      </c>
      <c r="T135" s="77">
        <f>IF(T109=5,IF(T122=1,1,0),0)</f>
        <v>0</v>
      </c>
      <c r="U135" s="74">
        <f>IF(U109=5,IF(U122=1,1,0),0)</f>
        <v>0</v>
      </c>
      <c r="W135" s="77">
        <f>IF(W109=5,IF(W122=1,1,0),0)</f>
        <v>0</v>
      </c>
      <c r="X135" s="74">
        <f>IF(X109=5,IF(X122=1,1,0),0)</f>
        <v>0</v>
      </c>
      <c r="Z135" s="77">
        <f>IF(Z109=5,IF(Z122=1,1,0),0)</f>
        <v>0</v>
      </c>
      <c r="AA135" s="74">
        <f>IF(AA109=5,IF(AA122=1,1,0),0)</f>
        <v>0</v>
      </c>
      <c r="AC135" s="77">
        <f>IF(AC109=5,IF(AC122=1,1,0),0)</f>
        <v>0</v>
      </c>
      <c r="AD135" s="74">
        <f>IF(AD109=5,IF(AD122=1,1,0),0)</f>
        <v>0</v>
      </c>
      <c r="AF135" s="77">
        <f>IF(AF109=5,IF(AF122=1,1,0),0)</f>
        <v>0</v>
      </c>
      <c r="AG135" s="74">
        <f>SUM(B135:AF135)</f>
        <v>0</v>
      </c>
      <c r="AH135" s="74">
        <f>AG141-AG135</f>
        <v>0</v>
      </c>
    </row>
    <row r="136" spans="1:38" s="74" customFormat="1" ht="38.25" hidden="1" customHeight="1" x14ac:dyDescent="0.25">
      <c r="A136" s="78"/>
      <c r="D136" s="77"/>
      <c r="G136" s="77"/>
      <c r="J136" s="77"/>
      <c r="K136" s="77"/>
      <c r="N136" s="77"/>
      <c r="Q136" s="77"/>
      <c r="T136" s="77"/>
      <c r="W136" s="77"/>
      <c r="Z136" s="77"/>
      <c r="AC136" s="77"/>
      <c r="AF136" s="77"/>
      <c r="AG136" s="78" t="s">
        <v>74</v>
      </c>
    </row>
    <row r="137" spans="1:38" s="74" customFormat="1" ht="12.75" hidden="1" customHeight="1" x14ac:dyDescent="0.25">
      <c r="A137" s="74" t="s">
        <v>75</v>
      </c>
      <c r="B137" s="74">
        <f>IF(B109=1,IF(C122=1,1,0),0)</f>
        <v>1</v>
      </c>
      <c r="D137" s="77">
        <f>IF(D109=1,IF(C122=1,1,0),0)</f>
        <v>0</v>
      </c>
      <c r="E137" s="74">
        <f>IF(E109=1,IF(F122=1,1,0),0)</f>
        <v>0</v>
      </c>
      <c r="G137" s="77">
        <f>IF(G109=1,IF(F122=1,1,0),0)</f>
        <v>0</v>
      </c>
      <c r="H137" s="74">
        <f>IF(H109=1,IF(I122=1,1,0),0)</f>
        <v>1</v>
      </c>
      <c r="J137" s="77">
        <f>IF(J109=1,IF(I122=1,1,0),0)</f>
        <v>0</v>
      </c>
      <c r="K137" s="77"/>
      <c r="L137" s="74">
        <f>IF(L109=1,IF(M122=1,1,0),0)</f>
        <v>1</v>
      </c>
      <c r="N137" s="77">
        <f>IF(N109=1,IF(M122=1,1,0),0)</f>
        <v>0</v>
      </c>
      <c r="O137" s="74">
        <f>IF(O109=1,IF(P122=1,1,0),0)</f>
        <v>0</v>
      </c>
      <c r="Q137" s="77">
        <f>IF(Q109=1,IF(P122=1,1,0),0)</f>
        <v>0</v>
      </c>
      <c r="R137" s="74">
        <f>IF(R109=1,IF(S122=1,1,0),0)</f>
        <v>1</v>
      </c>
      <c r="T137" s="77">
        <f>IF(T109=1,IF(S122=1,1,0),0)</f>
        <v>0</v>
      </c>
      <c r="U137" s="74">
        <f>IF(U109=1,IF(V122=1,1,0),0)</f>
        <v>0</v>
      </c>
      <c r="W137" s="77">
        <f>IF(W109=1,IF(V122=1,1,0),0)</f>
        <v>0</v>
      </c>
      <c r="X137" s="74">
        <f>IF(X109=1,IF(Y122=1,1,0),0)</f>
        <v>0</v>
      </c>
      <c r="Z137" s="77">
        <f>IF(Z109=1,IF(Y122=1,1,0),0)</f>
        <v>0</v>
      </c>
      <c r="AA137" s="74">
        <f>IF(AA109=1,IF(AB122=1,1,0),0)</f>
        <v>0</v>
      </c>
      <c r="AC137" s="77">
        <f>IF(AC109=1,IF(AB122=1,1,0),0)</f>
        <v>0</v>
      </c>
      <c r="AD137" s="74">
        <f>IF(AD109=1,IF(AE122=1,1,0),0)</f>
        <v>0</v>
      </c>
      <c r="AF137" s="77">
        <f>IF(AF109=1,IF(AE122=1,1,0),0)</f>
        <v>0</v>
      </c>
      <c r="AG137" s="74">
        <f>SUM(B137:AF137)</f>
        <v>4</v>
      </c>
    </row>
    <row r="138" spans="1:38" s="74" customFormat="1" ht="12.75" hidden="1" customHeight="1" x14ac:dyDescent="0.25">
      <c r="A138" s="74" t="s">
        <v>76</v>
      </c>
      <c r="B138" s="74">
        <f>IF(B109=2,IF(C122=1,1,0),0)</f>
        <v>0</v>
      </c>
      <c r="D138" s="77">
        <f>IF(D109=2,IF(C122=1,1,0),0)</f>
        <v>0</v>
      </c>
      <c r="E138" s="74">
        <f>IF(E109=2,IF(F122=1,1,0),0)</f>
        <v>1</v>
      </c>
      <c r="G138" s="77">
        <f>IF(G109=2,IF(F122=1,1,0),0)</f>
        <v>0</v>
      </c>
      <c r="H138" s="74">
        <f>IF(H109=2,IF(I122=1,1,0),0)</f>
        <v>0</v>
      </c>
      <c r="J138" s="77">
        <f>IF(J109=2,IF(I122=1,1,0),0)</f>
        <v>1</v>
      </c>
      <c r="K138" s="77"/>
      <c r="L138" s="74">
        <f>IF(L109=2,IF(M122=1,1,0),0)</f>
        <v>0</v>
      </c>
      <c r="N138" s="77">
        <f>IF(N109=2,IF(M122=1,1,0),0)</f>
        <v>0</v>
      </c>
      <c r="O138" s="74">
        <f>IF(O109=2,IF(P122=1,1,0),0)</f>
        <v>1</v>
      </c>
      <c r="Q138" s="77">
        <f>IF(Q109=2,IF(P122=1,1,0),0)</f>
        <v>0</v>
      </c>
      <c r="R138" s="74">
        <f>IF(R109=2,IF(S122=1,1,0),0)</f>
        <v>0</v>
      </c>
      <c r="T138" s="77">
        <f>IF(T109=2,IF(S122=1,1,0),0)</f>
        <v>1</v>
      </c>
      <c r="U138" s="74">
        <f>IF(U109=2,IF(V122=1,1,0),0)</f>
        <v>0</v>
      </c>
      <c r="W138" s="77">
        <f>IF(W109=2,IF(V122=1,1,0),0)</f>
        <v>0</v>
      </c>
      <c r="X138" s="74">
        <f>IF(X109=2,IF(Y122=1,1,0),0)</f>
        <v>0</v>
      </c>
      <c r="Z138" s="77">
        <f>IF(Z109=2,IF(Y122=1,1,0),0)</f>
        <v>0</v>
      </c>
      <c r="AA138" s="74">
        <f>IF(AA109=2,IF(AB122=1,1,0),0)</f>
        <v>0</v>
      </c>
      <c r="AC138" s="77">
        <f>IF(AC109=2,IF(AB122=1,1,0),0)</f>
        <v>0</v>
      </c>
      <c r="AD138" s="74">
        <f>IF(AD109=2,IF(AE122=1,1,0),0)</f>
        <v>0</v>
      </c>
      <c r="AF138" s="77">
        <f>IF(AF109=2,IF(AE122=1,1,0),0)</f>
        <v>0</v>
      </c>
      <c r="AG138" s="74">
        <f>SUM(B138:AF138)</f>
        <v>4</v>
      </c>
    </row>
    <row r="139" spans="1:38" s="74" customFormat="1" ht="12.75" hidden="1" customHeight="1" x14ac:dyDescent="0.25">
      <c r="A139" s="74" t="s">
        <v>77</v>
      </c>
      <c r="B139" s="74">
        <f>IF(B109=3,IF(C122=1,1,0),0)</f>
        <v>0</v>
      </c>
      <c r="D139" s="77">
        <f>IF(D109=3,IF(C122=1,1,0),0)</f>
        <v>1</v>
      </c>
      <c r="E139" s="74">
        <f>IF(E109=3,IF(F122=1,1,0),0)</f>
        <v>0</v>
      </c>
      <c r="G139" s="77">
        <f>IF(G109=3,IF(F122=1,1,0),0)</f>
        <v>1</v>
      </c>
      <c r="H139" s="74">
        <f>IF(H109=3,IF(I122=1,1,0),0)</f>
        <v>0</v>
      </c>
      <c r="J139" s="77">
        <f>IF(J109=3,IF(I122=1,1,0),0)</f>
        <v>0</v>
      </c>
      <c r="K139" s="77"/>
      <c r="L139" s="74">
        <f>IF(L109=3,IF(M122=1,1,0),0)</f>
        <v>0</v>
      </c>
      <c r="N139" s="77">
        <f>IF(N109=3,IF(M122=1,1,0),0)</f>
        <v>1</v>
      </c>
      <c r="O139" s="74">
        <f>IF(O109=3,IF(P122=1,1,0),0)</f>
        <v>0</v>
      </c>
      <c r="Q139" s="77">
        <f>IF(Q109=3,IF(P122=1,1,0),0)</f>
        <v>1</v>
      </c>
      <c r="R139" s="74">
        <f>IF(R109=3,IF(S122=1,1,0),0)</f>
        <v>0</v>
      </c>
      <c r="T139" s="77">
        <f>IF(T109=3,IF(S122=1,1,0),0)</f>
        <v>0</v>
      </c>
      <c r="U139" s="74">
        <f>IF(U109=3,IF(V122=1,1,0),0)</f>
        <v>0</v>
      </c>
      <c r="W139" s="77">
        <f>IF(W109=3,IF(V122=1,1,0),0)</f>
        <v>0</v>
      </c>
      <c r="X139" s="74">
        <f>IF(X109=3,IF(Y122=1,1,0),0)</f>
        <v>0</v>
      </c>
      <c r="Z139" s="77">
        <f>IF(Z109=3,IF(Y122=1,1,0),0)</f>
        <v>0</v>
      </c>
      <c r="AA139" s="74">
        <f>IF(AA109=3,IF(AB122=1,1,0),0)</f>
        <v>0</v>
      </c>
      <c r="AC139" s="77">
        <f>IF(AC109=3,IF(AB122=1,1,0),0)</f>
        <v>0</v>
      </c>
      <c r="AD139" s="74">
        <f>IF(AD109=3,IF(AE122=1,1,0),0)</f>
        <v>0</v>
      </c>
      <c r="AF139" s="77">
        <f>IF(AF109=3,IF(AE122=1,1,0),0)</f>
        <v>0</v>
      </c>
      <c r="AG139" s="74">
        <f>SUM(B139:AF139)</f>
        <v>4</v>
      </c>
    </row>
    <row r="140" spans="1:38" s="74" customFormat="1" ht="12.75" hidden="1" customHeight="1" x14ac:dyDescent="0.25">
      <c r="A140" s="74" t="s">
        <v>78</v>
      </c>
      <c r="B140" s="74">
        <f>IF(B109=4,IF(C122=1,1,0),0)</f>
        <v>0</v>
      </c>
      <c r="D140" s="77">
        <f>IF(D109=4,IF(C122=1,1,0),0)</f>
        <v>0</v>
      </c>
      <c r="E140" s="74">
        <f>IF(E109=4,IF(F122=1,1,0),0)</f>
        <v>0</v>
      </c>
      <c r="G140" s="77">
        <f>IF(G109=4,IF(F122=1,1,0),0)</f>
        <v>0</v>
      </c>
      <c r="H140" s="74">
        <f>IF(H109=4,IF(I122=1,1,0),0)</f>
        <v>0</v>
      </c>
      <c r="J140" s="77">
        <f>IF(J109=4,IF(I122=1,1,0),0)</f>
        <v>0</v>
      </c>
      <c r="K140" s="77"/>
      <c r="L140" s="74">
        <f>IF(L109=4,IF(M122=1,1,0),0)</f>
        <v>0</v>
      </c>
      <c r="N140" s="77">
        <f>IF(N109=4,IF(M122=1,1,0),0)</f>
        <v>0</v>
      </c>
      <c r="O140" s="74">
        <f>IF(O109=4,IF(P122=1,1,0),0)</f>
        <v>0</v>
      </c>
      <c r="Q140" s="77">
        <f>IF(Q109=4,IF(P122=1,1,0),0)</f>
        <v>0</v>
      </c>
      <c r="R140" s="74">
        <f>IF(R109=4,IF(S122=1,1,0),0)</f>
        <v>0</v>
      </c>
      <c r="T140" s="77">
        <f>IF(T109=4,IF(S122=1,1,0),0)</f>
        <v>0</v>
      </c>
      <c r="U140" s="74">
        <f>IF(U109=4,IF(V122=1,1,0),0)</f>
        <v>0</v>
      </c>
      <c r="W140" s="77">
        <f>IF(W109=4,IF(V122=1,1,0),0)</f>
        <v>0</v>
      </c>
      <c r="X140" s="74">
        <f>IF(X109=4,IF(Y122=1,1,0),0)</f>
        <v>0</v>
      </c>
      <c r="Z140" s="77">
        <f>IF(Z109=4,IF(Y122=1,1,0),0)</f>
        <v>0</v>
      </c>
      <c r="AA140" s="74">
        <f>IF(AA109=4,IF(AB122=1,1,0),0)</f>
        <v>0</v>
      </c>
      <c r="AC140" s="77">
        <f>IF(AC109=4,IF(AB122=1,1,0),0)</f>
        <v>0</v>
      </c>
      <c r="AD140" s="74">
        <f>IF(AD109=4,IF(AE122=1,1,0),0)</f>
        <v>0</v>
      </c>
      <c r="AF140" s="77">
        <f>IF(AF109=4,IF(AE122=1,1,0),0)</f>
        <v>0</v>
      </c>
      <c r="AG140" s="74">
        <f>SUM(B140:AF140)</f>
        <v>0</v>
      </c>
    </row>
    <row r="141" spans="1:38" s="74" customFormat="1" ht="12.75" hidden="1" customHeight="1" x14ac:dyDescent="0.25">
      <c r="A141" s="74" t="s">
        <v>79</v>
      </c>
      <c r="B141" s="74">
        <f>IF(B109=5,IF(C122=1,1,0),0)</f>
        <v>0</v>
      </c>
      <c r="D141" s="77">
        <f>IF(D109=5,IF(C122=1,1,0),0)</f>
        <v>0</v>
      </c>
      <c r="E141" s="74">
        <f>IF(E109=5,IF(F122=1,1,0),0)</f>
        <v>0</v>
      </c>
      <c r="G141" s="77">
        <f>IF(G109=5,IF(F122=1,1,0),0)</f>
        <v>0</v>
      </c>
      <c r="H141" s="74">
        <f>IF(H109=5,IF(I122=1,1,0),0)</f>
        <v>0</v>
      </c>
      <c r="J141" s="77">
        <f>IF(J109=5,IF(I122=1,1,0),0)</f>
        <v>0</v>
      </c>
      <c r="K141" s="77"/>
      <c r="L141" s="74">
        <f>IF(L109=5,IF(M122=1,1,0),0)</f>
        <v>0</v>
      </c>
      <c r="N141" s="77">
        <f>IF(N109=5,IF(M122=1,1,0),0)</f>
        <v>0</v>
      </c>
      <c r="O141" s="74">
        <f>IF(O109=5,IF(P122=1,1,0),0)</f>
        <v>0</v>
      </c>
      <c r="Q141" s="77">
        <f>IF(Q109=5,IF(P122=1,1,0),0)</f>
        <v>0</v>
      </c>
      <c r="R141" s="74">
        <f>IF(R109=5,IF(S122=1,1,0),0)</f>
        <v>0</v>
      </c>
      <c r="T141" s="77">
        <f>IF(T109=5,IF(S122=1,1,0),0)</f>
        <v>0</v>
      </c>
      <c r="U141" s="74">
        <f>IF(U109=5,IF(V122=1,1,0),0)</f>
        <v>0</v>
      </c>
      <c r="W141" s="77">
        <f>IF(W109=5,IF(V122=1,1,0),0)</f>
        <v>0</v>
      </c>
      <c r="X141" s="74">
        <f>IF(X109=5,IF(Y122=1,1,0),0)</f>
        <v>0</v>
      </c>
      <c r="Z141" s="77">
        <f>IF(Z109=5,IF(Y122=1,1,0),0)</f>
        <v>0</v>
      </c>
      <c r="AA141" s="74">
        <f>IF(AA109=5,IF(AB122=1,1,0),0)</f>
        <v>0</v>
      </c>
      <c r="AC141" s="77">
        <f>IF(AC109=5,IF(AB122=1,1,0),0)</f>
        <v>0</v>
      </c>
      <c r="AD141" s="74">
        <f>IF(AD109=5,IF(AE122=1,1,0),0)</f>
        <v>0</v>
      </c>
      <c r="AF141" s="77">
        <f>IF(AF109=5,IF(AE122=1,1,0),0)</f>
        <v>0</v>
      </c>
      <c r="AG141" s="74">
        <f>SUM(B141:AF141)</f>
        <v>0</v>
      </c>
    </row>
    <row r="142" spans="1:38" s="74" customFormat="1" ht="38.25" hidden="1" customHeight="1" x14ac:dyDescent="0.25">
      <c r="A142" s="78"/>
      <c r="D142" s="77"/>
      <c r="G142" s="77"/>
      <c r="J142" s="77"/>
      <c r="K142" s="77"/>
      <c r="N142" s="77"/>
      <c r="Q142" s="77"/>
      <c r="T142" s="77"/>
      <c r="W142" s="77"/>
      <c r="Z142" s="77"/>
      <c r="AC142" s="77"/>
      <c r="AF142" s="77"/>
      <c r="AG142" s="78" t="s">
        <v>80</v>
      </c>
      <c r="AH142" s="307"/>
      <c r="AI142" s="307"/>
      <c r="AJ142" s="307"/>
      <c r="AK142" s="307"/>
      <c r="AL142" s="307"/>
    </row>
    <row r="143" spans="1:38" s="74" customFormat="1" ht="12.75" hidden="1" customHeight="1" x14ac:dyDescent="0.25">
      <c r="A143" s="74" t="s">
        <v>75</v>
      </c>
      <c r="B143" s="74">
        <f>IF(B109=1,B129,0)</f>
        <v>30</v>
      </c>
      <c r="D143" s="77">
        <f>IF(D109=1,B129,0)</f>
        <v>0</v>
      </c>
      <c r="E143" s="74">
        <f>IF(E109=1,E129,0)</f>
        <v>0</v>
      </c>
      <c r="G143" s="77">
        <f>IF(G109=1,E129,0)</f>
        <v>0</v>
      </c>
      <c r="H143" s="74">
        <f>IF(H109=1,H129,0)</f>
        <v>33</v>
      </c>
      <c r="J143" s="77">
        <f>IF(J109=1,H129,0)</f>
        <v>0</v>
      </c>
      <c r="K143" s="77"/>
      <c r="L143" s="74">
        <f>IF(L109=1,L129,0)</f>
        <v>30</v>
      </c>
      <c r="N143" s="77">
        <f>IF(N109=1,L129,0)</f>
        <v>0</v>
      </c>
      <c r="O143" s="74">
        <f>IF(O109=1,O129,0)</f>
        <v>0</v>
      </c>
      <c r="Q143" s="77">
        <f>IF(Q109=1,O129,0)</f>
        <v>0</v>
      </c>
      <c r="R143" s="74">
        <f>IF(R109=1,R129,0)</f>
        <v>35</v>
      </c>
      <c r="T143" s="77">
        <f>IF(T109=1,R129,0)</f>
        <v>0</v>
      </c>
      <c r="U143" s="74">
        <f>IF(U109=1,U129,0)</f>
        <v>0</v>
      </c>
      <c r="W143" s="77">
        <f>IF(W109=1,U129,0)</f>
        <v>0</v>
      </c>
      <c r="X143" s="74">
        <f>IF(X109=1,X129,0)</f>
        <v>0</v>
      </c>
      <c r="Z143" s="77">
        <f>IF(Z109=1,X129,0)</f>
        <v>0</v>
      </c>
      <c r="AA143" s="74">
        <f>IF(AA109=1,AA129,0)</f>
        <v>0</v>
      </c>
      <c r="AC143" s="77">
        <f>IF(AC109=1,AA129,0)</f>
        <v>0</v>
      </c>
      <c r="AD143" s="74">
        <f>IF(AD109=1,AD129,0)</f>
        <v>0</v>
      </c>
      <c r="AF143" s="77">
        <f>IF(AF109=1,AD129,0)</f>
        <v>0</v>
      </c>
      <c r="AG143" s="74">
        <f>SUM(B143:AF143)</f>
        <v>128</v>
      </c>
    </row>
    <row r="144" spans="1:38" s="74" customFormat="1" ht="12.75" hidden="1" customHeight="1" x14ac:dyDescent="0.25">
      <c r="A144" s="74" t="s">
        <v>76</v>
      </c>
      <c r="B144" s="74">
        <f>IF(B109=2,B129,0)</f>
        <v>0</v>
      </c>
      <c r="D144" s="77">
        <f>IF(D109=2,B129,0)</f>
        <v>0</v>
      </c>
      <c r="E144" s="74">
        <f>IF(E109=2,E129,0)</f>
        <v>29</v>
      </c>
      <c r="G144" s="77">
        <f>IF(G109=2,E129,0)</f>
        <v>0</v>
      </c>
      <c r="H144" s="74">
        <f>IF(H109=2,H129,0)</f>
        <v>0</v>
      </c>
      <c r="J144" s="77">
        <f>IF(J109=2,H129,0)</f>
        <v>33</v>
      </c>
      <c r="K144" s="77"/>
      <c r="L144" s="74">
        <f>IF(L109=2,L129,0)</f>
        <v>0</v>
      </c>
      <c r="N144" s="77">
        <f>IF(N109=2,L129,0)</f>
        <v>0</v>
      </c>
      <c r="O144" s="74">
        <f>IF(O109=2,O129,0)</f>
        <v>27</v>
      </c>
      <c r="Q144" s="77">
        <f>IF(Q109=2,O129,0)</f>
        <v>0</v>
      </c>
      <c r="R144" s="74">
        <f>IF(R109=2,R129,0)</f>
        <v>0</v>
      </c>
      <c r="T144" s="77">
        <f>IF(T109=2,R129,0)</f>
        <v>35</v>
      </c>
      <c r="U144" s="74">
        <f>IF(U109=2,U129,0)</f>
        <v>0</v>
      </c>
      <c r="W144" s="77">
        <f>IF(W109=2,U129,0)</f>
        <v>0</v>
      </c>
      <c r="X144" s="74">
        <f>IF(X109=2,X129,0)</f>
        <v>0</v>
      </c>
      <c r="Z144" s="77">
        <f>IF(Z109=2,X129,0)</f>
        <v>0</v>
      </c>
      <c r="AA144" s="74">
        <f>IF(AA109=2,AA129,0)</f>
        <v>0</v>
      </c>
      <c r="AC144" s="77">
        <f>IF(AC109=2,AA129,0)</f>
        <v>0</v>
      </c>
      <c r="AD144" s="74">
        <f>IF(AD109=2,AD129,0)</f>
        <v>0</v>
      </c>
      <c r="AF144" s="77">
        <f>IF(AF109=2,AD129,0)</f>
        <v>0</v>
      </c>
      <c r="AG144" s="74">
        <f>SUM(B144:AF144)</f>
        <v>124</v>
      </c>
    </row>
    <row r="145" spans="1:34" s="74" customFormat="1" ht="12.75" hidden="1" customHeight="1" x14ac:dyDescent="0.25">
      <c r="A145" s="74" t="s">
        <v>77</v>
      </c>
      <c r="B145" s="74">
        <f>IF(B109=3,B129,0)</f>
        <v>0</v>
      </c>
      <c r="D145" s="77">
        <f>IF(D109=3,B129,0)</f>
        <v>30</v>
      </c>
      <c r="E145" s="74">
        <f>IF(E109=3,E129,0)</f>
        <v>0</v>
      </c>
      <c r="G145" s="77">
        <f>IF(G109=3,E129,0)</f>
        <v>29</v>
      </c>
      <c r="H145" s="74">
        <f>IF(H109=3,H129,0)</f>
        <v>0</v>
      </c>
      <c r="J145" s="77">
        <f>IF(J109=3,H129,0)</f>
        <v>0</v>
      </c>
      <c r="K145" s="77"/>
      <c r="L145" s="74">
        <f>IF(L109=3,L129,0)</f>
        <v>0</v>
      </c>
      <c r="N145" s="77">
        <f>IF(N109=3,L129,0)</f>
        <v>30</v>
      </c>
      <c r="O145" s="74">
        <f>IF(O109=3,O129,0)</f>
        <v>0</v>
      </c>
      <c r="Q145" s="77">
        <f>IF(Q109=3,O129,0)</f>
        <v>27</v>
      </c>
      <c r="R145" s="74">
        <f>IF(R109=3,R129,0)</f>
        <v>0</v>
      </c>
      <c r="T145" s="77">
        <f>IF(T109=3,R129,0)</f>
        <v>0</v>
      </c>
      <c r="U145" s="74">
        <f>IF(U109=3,U129,0)</f>
        <v>0</v>
      </c>
      <c r="W145" s="77">
        <f>IF(W109=3,U129,0)</f>
        <v>0</v>
      </c>
      <c r="X145" s="74">
        <f>IF(X109=3,X129,0)</f>
        <v>0</v>
      </c>
      <c r="Z145" s="77">
        <f>IF(Z109=3,X129,0)</f>
        <v>0</v>
      </c>
      <c r="AA145" s="74">
        <f>IF(AA109=3,AA129,0)</f>
        <v>0</v>
      </c>
      <c r="AC145" s="77">
        <f>IF(AC109=3,AA129,0)</f>
        <v>0</v>
      </c>
      <c r="AD145" s="74">
        <f>IF(AD109=3,AD129,0)</f>
        <v>0</v>
      </c>
      <c r="AF145" s="77">
        <f>IF(AF109=3,AD129,0)</f>
        <v>0</v>
      </c>
      <c r="AG145" s="74">
        <f>SUM(B145:AF145)</f>
        <v>116</v>
      </c>
    </row>
    <row r="146" spans="1:34" s="74" customFormat="1" ht="12.75" hidden="1" customHeight="1" x14ac:dyDescent="0.25">
      <c r="A146" s="74" t="s">
        <v>78</v>
      </c>
      <c r="B146" s="74">
        <f>IF(B109=4,B129,0)</f>
        <v>0</v>
      </c>
      <c r="D146" s="77">
        <f>IF(D109=4,B129,0)</f>
        <v>0</v>
      </c>
      <c r="E146" s="74">
        <f>IF(E109=4,E129,0)</f>
        <v>0</v>
      </c>
      <c r="G146" s="77">
        <f>IF(G109=4,E129,0)</f>
        <v>0</v>
      </c>
      <c r="H146" s="74">
        <f>IF(H109=4,H129,0)</f>
        <v>0</v>
      </c>
      <c r="J146" s="77">
        <f>IF(J109=4,H129,0)</f>
        <v>0</v>
      </c>
      <c r="K146" s="77"/>
      <c r="L146" s="74">
        <f>IF(L109=4,L129,0)</f>
        <v>0</v>
      </c>
      <c r="N146" s="77">
        <f>IF(N109=4,L129,0)</f>
        <v>0</v>
      </c>
      <c r="O146" s="74">
        <f>IF(O109=4,O129,0)</f>
        <v>0</v>
      </c>
      <c r="Q146" s="77">
        <f>IF(Q109=4,O129,0)</f>
        <v>0</v>
      </c>
      <c r="R146" s="74">
        <f>IF(R109=4,R129,0)</f>
        <v>0</v>
      </c>
      <c r="T146" s="77">
        <f>IF(T109=4,R129,0)</f>
        <v>0</v>
      </c>
      <c r="U146" s="74">
        <f>IF(U109=4,U129,0)</f>
        <v>0</v>
      </c>
      <c r="W146" s="77">
        <f>IF(W109=4,U129,0)</f>
        <v>0</v>
      </c>
      <c r="X146" s="74">
        <f>IF(X109=4,X129,0)</f>
        <v>0</v>
      </c>
      <c r="Z146" s="77">
        <f>IF(Z109=4,X129,0)</f>
        <v>0</v>
      </c>
      <c r="AA146" s="74">
        <f>IF(AA109=4,AA129,0)</f>
        <v>0</v>
      </c>
      <c r="AC146" s="77">
        <f>IF(AC109=4,AA129,0)</f>
        <v>0</v>
      </c>
      <c r="AD146" s="74">
        <f>IF(AD109=4,AD129,0)</f>
        <v>0</v>
      </c>
      <c r="AF146" s="77">
        <f>IF(AF109=4,AD129,0)</f>
        <v>0</v>
      </c>
      <c r="AG146" s="74">
        <f>SUM(B146:AF146)</f>
        <v>0</v>
      </c>
    </row>
    <row r="147" spans="1:34" s="74" customFormat="1" ht="12.75" hidden="1" customHeight="1" x14ac:dyDescent="0.25">
      <c r="A147" s="74" t="s">
        <v>79</v>
      </c>
      <c r="B147" s="74">
        <f>IF(B109=5,B129,0)</f>
        <v>0</v>
      </c>
      <c r="D147" s="77">
        <f>IF(D109=5,B129,0)</f>
        <v>0</v>
      </c>
      <c r="E147" s="74">
        <f>IF(E109=5,E129,0)</f>
        <v>0</v>
      </c>
      <c r="G147" s="77">
        <f>IF(G109=5,E129,0)</f>
        <v>0</v>
      </c>
      <c r="H147" s="74">
        <f>IF(H109=5,H129,0)</f>
        <v>0</v>
      </c>
      <c r="J147" s="77">
        <f>IF(J109=5,H129,0)</f>
        <v>0</v>
      </c>
      <c r="K147" s="77"/>
      <c r="L147" s="74">
        <f>IF(L109=5,L129,0)</f>
        <v>0</v>
      </c>
      <c r="N147" s="77">
        <f>IF(N109=5,L129,0)</f>
        <v>0</v>
      </c>
      <c r="O147" s="74">
        <f>IF(O109=5,O129,0)</f>
        <v>0</v>
      </c>
      <c r="Q147" s="77">
        <f>IF(Q109=5,O129,0)</f>
        <v>0</v>
      </c>
      <c r="R147" s="74">
        <f>IF(R109=5,R129,0)</f>
        <v>0</v>
      </c>
      <c r="T147" s="77">
        <f>IF(T109=5,R129,0)</f>
        <v>0</v>
      </c>
      <c r="U147" s="74">
        <f>IF(U109=5,U129,0)</f>
        <v>0</v>
      </c>
      <c r="W147" s="77">
        <f>IF(W109=5,U129,0)</f>
        <v>0</v>
      </c>
      <c r="X147" s="74">
        <f>IF(X109=5,X129,0)</f>
        <v>0</v>
      </c>
      <c r="Z147" s="77">
        <f>IF(Z109=5,X129,0)</f>
        <v>0</v>
      </c>
      <c r="AA147" s="74">
        <f>IF(AA109=5,AA129,0)</f>
        <v>0</v>
      </c>
      <c r="AC147" s="77">
        <f>IF(AC109=5,AA129,0)</f>
        <v>0</v>
      </c>
      <c r="AD147" s="74">
        <f>IF(AD109=5,AD129,0)</f>
        <v>0</v>
      </c>
      <c r="AF147" s="77">
        <f>IF(AF109=5,AD129,0)</f>
        <v>0</v>
      </c>
      <c r="AG147" s="74">
        <f>SUM(B147:AF147)</f>
        <v>0</v>
      </c>
    </row>
    <row r="148" spans="1:34" s="74" customFormat="1" ht="38.25" hidden="1" customHeight="1" x14ac:dyDescent="0.25">
      <c r="A148" s="74" t="s">
        <v>81</v>
      </c>
      <c r="D148" s="77"/>
      <c r="G148" s="77"/>
      <c r="J148" s="77"/>
      <c r="K148" s="77"/>
      <c r="N148" s="77"/>
      <c r="Q148" s="77"/>
      <c r="T148" s="77"/>
      <c r="W148" s="77"/>
      <c r="Z148" s="77"/>
      <c r="AC148" s="77"/>
      <c r="AF148" s="77"/>
      <c r="AG148" s="78" t="s">
        <v>82</v>
      </c>
      <c r="AH148" s="74" t="s">
        <v>83</v>
      </c>
    </row>
    <row r="149" spans="1:34" s="74" customFormat="1" ht="12.75" hidden="1" customHeight="1" x14ac:dyDescent="0.25">
      <c r="A149" s="74" t="s">
        <v>69</v>
      </c>
      <c r="B149" s="74">
        <f>IF(B109=1,SUMIF(B116:B120,"&gt;0"),0)</f>
        <v>0</v>
      </c>
      <c r="D149" s="77">
        <f>IF(D109=1,SUMIF(D116:D120,"&gt;0"),0)</f>
        <v>0</v>
      </c>
      <c r="E149" s="74">
        <f>IF(E109=1,SUMIF(E116:E120,"&gt;0"),0)</f>
        <v>0</v>
      </c>
      <c r="G149" s="77">
        <f>IF(G109=1,SUMIF(G116:G120,"&gt;0"),0)</f>
        <v>0</v>
      </c>
      <c r="H149" s="74">
        <f>IF(H109=1,SUMIF(H116:H120,"&gt;0"),0)</f>
        <v>0</v>
      </c>
      <c r="J149" s="77">
        <f>IF(J109=1,SUMIF(J116:J120,"&gt;0"),0)</f>
        <v>0</v>
      </c>
      <c r="K149" s="77"/>
      <c r="L149" s="74">
        <f>IF(L109=1,SUMIF(L116:L120,"&gt;0"),0)</f>
        <v>0</v>
      </c>
      <c r="N149" s="77">
        <f>IF(N109=1,SUMIF(N116:N120,"&gt;0"),0)</f>
        <v>0</v>
      </c>
      <c r="O149" s="74">
        <f>IF(O109=1,SUMIF(O116:O120,"&gt;0"),0)</f>
        <v>0</v>
      </c>
      <c r="Q149" s="77">
        <f>IF(Q109=1,SUMIF(Q116:Q120,"&gt;0"),0)</f>
        <v>0</v>
      </c>
      <c r="R149" s="74">
        <f>IF(R109=1,SUMIF(R116:R120,"&gt;0"),0)</f>
        <v>1</v>
      </c>
      <c r="T149" s="77">
        <f>IF(T109=1,SUMIF(T116:T120,"&gt;0"),0)</f>
        <v>0</v>
      </c>
      <c r="U149" s="74">
        <f>IF(U109=1,SUMIF(U116:U120,"&gt;0"),0)</f>
        <v>0</v>
      </c>
      <c r="W149" s="77">
        <f>IF(W109=1,SUMIF(W116:W120,"&gt;0"),0)</f>
        <v>0</v>
      </c>
      <c r="X149" s="74">
        <f>IF(X109=1,SUMIF(X116:X120,"&gt;0"),0)</f>
        <v>0</v>
      </c>
      <c r="Z149" s="77">
        <f>IF(Z109=1,SUMIF(Z116:Z120,"&gt;0"),0)</f>
        <v>0</v>
      </c>
      <c r="AA149" s="74">
        <f>IF(AA109=1,SUMIF(AA116:AA120,"&gt;0"),0)</f>
        <v>0</v>
      </c>
      <c r="AC149" s="77">
        <f>IF(AC109=1,SUMIF(AC116:AC120,"&gt;0"),0)</f>
        <v>0</v>
      </c>
      <c r="AD149" s="74">
        <f>IF(AD109=1,SUMIF(AD116:AD120,"&gt;0"),0)</f>
        <v>0</v>
      </c>
      <c r="AF149" s="77">
        <f>IF(AF109=1,SUMIF(AF116:AF120,"&gt;0"),0)</f>
        <v>0</v>
      </c>
      <c r="AG149" s="74">
        <f>SUM(B149:AF149)</f>
        <v>1</v>
      </c>
      <c r="AH149" s="74">
        <f>AG157-AG149</f>
        <v>3</v>
      </c>
    </row>
    <row r="150" spans="1:34" s="74" customFormat="1" ht="12.75" hidden="1" customHeight="1" x14ac:dyDescent="0.25">
      <c r="A150" s="74" t="s">
        <v>70</v>
      </c>
      <c r="B150" s="74">
        <f>IF(B109=2,SUMIF(B116:B120,"&gt;0"),0)</f>
        <v>0</v>
      </c>
      <c r="D150" s="77">
        <f>IF(D109=2,SUMIF(D116:D120,"&gt;0"),0)</f>
        <v>0</v>
      </c>
      <c r="E150" s="74">
        <f>IF(E109=2,SUMIF(E116:E120,"&gt;0"),0)</f>
        <v>0</v>
      </c>
      <c r="G150" s="77">
        <f>IF(G109=2,SUMIF(G116:G120,"&gt;0"),0)</f>
        <v>0</v>
      </c>
      <c r="H150" s="74">
        <f>IF(H109=2,SUMIF(H116:H120,"&gt;0"),0)</f>
        <v>0</v>
      </c>
      <c r="J150" s="77">
        <f>IF(J109=2,SUMIF(J116:J120,"&gt;0"),0)</f>
        <v>1</v>
      </c>
      <c r="K150" s="77"/>
      <c r="L150" s="74">
        <f>IF(L109=2,SUMIF(L116:L120,"&gt;0"),0)</f>
        <v>0</v>
      </c>
      <c r="N150" s="77">
        <f>IF(N109=2,SUMIF(N116:N120,"&gt;0"),0)</f>
        <v>0</v>
      </c>
      <c r="O150" s="74">
        <f>IF(O109=2,SUMIF(O116:O120,"&gt;0"),0)</f>
        <v>0</v>
      </c>
      <c r="Q150" s="77">
        <f>IF(Q109=2,SUMIF(Q116:Q120,"&gt;0"),0)</f>
        <v>0</v>
      </c>
      <c r="R150" s="74">
        <f>IF(R109=2,SUMIF(R116:R120,"&gt;0"),0)</f>
        <v>0</v>
      </c>
      <c r="T150" s="77">
        <f>IF(T109=2,SUMIF(T116:T120,"&gt;0"),0)</f>
        <v>0</v>
      </c>
      <c r="U150" s="74">
        <f>IF(U109=2,SUMIF(U116:U120,"&gt;0"),0)</f>
        <v>0</v>
      </c>
      <c r="W150" s="77">
        <f>IF(W109=2,SUMIF(W116:W120,"&gt;0"),0)</f>
        <v>0</v>
      </c>
      <c r="X150" s="74">
        <f>IF(X109=2,SUMIF(X116:X120,"&gt;0"),0)</f>
        <v>0</v>
      </c>
      <c r="Z150" s="77">
        <f>IF(Z109=2,SUMIF(Z116:Z120,"&gt;0"),0)</f>
        <v>0</v>
      </c>
      <c r="AA150" s="74">
        <f>IF(AA109=2,SUMIF(AA116:AA120,"&gt;0"),0)</f>
        <v>0</v>
      </c>
      <c r="AC150" s="77">
        <f>IF(AC109=2,SUMIF(AC116:AC120,"&gt;0"),0)</f>
        <v>0</v>
      </c>
      <c r="AD150" s="74">
        <f>IF(AD109=2,SUMIF(AD116:AD120,"&gt;0"),0)</f>
        <v>0</v>
      </c>
      <c r="AF150" s="77">
        <f>IF(AF109=2,SUMIF(AF116:AF120,"&gt;0"),0)</f>
        <v>0</v>
      </c>
      <c r="AG150" s="74">
        <f>SUM(B150:AF150)</f>
        <v>1</v>
      </c>
      <c r="AH150" s="74">
        <f>AG158-AG150</f>
        <v>3</v>
      </c>
    </row>
    <row r="151" spans="1:34" s="74" customFormat="1" ht="12.75" hidden="1" customHeight="1" x14ac:dyDescent="0.25">
      <c r="A151" s="74" t="s">
        <v>71</v>
      </c>
      <c r="B151" s="74">
        <f>IF(B109=3,SUMIF(B116:B120,"&gt;0"),0)</f>
        <v>0</v>
      </c>
      <c r="D151" s="77">
        <f>IF(D109=3,SUMIF(D116:D120,"&gt;0"),0)</f>
        <v>1</v>
      </c>
      <c r="E151" s="74">
        <f>IF(E109=3,SUMIF(E116:E120,"&gt;0"),0)</f>
        <v>0</v>
      </c>
      <c r="G151" s="77">
        <f>IF(G109=3,SUMIF(G116:G120,"&gt;0"),0)</f>
        <v>1</v>
      </c>
      <c r="H151" s="74">
        <f>IF(H109=3,SUMIF(H116:H120,"&gt;0"),0)</f>
        <v>0</v>
      </c>
      <c r="J151" s="77">
        <f>IF(J109=3,SUMIF(J116:J120,"&gt;0"),0)</f>
        <v>0</v>
      </c>
      <c r="K151" s="77"/>
      <c r="L151" s="74">
        <f>IF(L109=3,SUMIF(L116:L120,"&gt;0"),0)</f>
        <v>0</v>
      </c>
      <c r="N151" s="77">
        <f>IF(N109=3,SUMIF(N116:N120,"&gt;0"),0)</f>
        <v>1</v>
      </c>
      <c r="O151" s="74">
        <f>IF(O109=3,SUMIF(O116:O120,"&gt;0"),0)</f>
        <v>0</v>
      </c>
      <c r="Q151" s="77">
        <f>IF(Q109=3,SUMIF(Q116:Q120,"&gt;0"),0)</f>
        <v>1</v>
      </c>
      <c r="R151" s="74">
        <f>IF(R109=3,SUMIF(R116:R120,"&gt;0"),0)</f>
        <v>0</v>
      </c>
      <c r="T151" s="77">
        <f>IF(T109=3,SUMIF(T116:T120,"&gt;0"),0)</f>
        <v>0</v>
      </c>
      <c r="U151" s="74">
        <f>IF(U109=3,SUMIF(U116:U120,"&gt;0"),0)</f>
        <v>0</v>
      </c>
      <c r="W151" s="77">
        <f>IF(W109=3,SUMIF(W116:W120,"&gt;0"),0)</f>
        <v>0</v>
      </c>
      <c r="X151" s="74">
        <f>IF(X109=3,SUMIF(X116:X120,"&gt;0"),0)</f>
        <v>0</v>
      </c>
      <c r="Z151" s="77">
        <f>IF(Z109=3,SUMIF(Z116:Z120,"&gt;0"),0)</f>
        <v>0</v>
      </c>
      <c r="AA151" s="74">
        <f>IF(AA109=3,SUMIF(AA116:AA120,"&gt;0"),0)</f>
        <v>0</v>
      </c>
      <c r="AC151" s="77">
        <f>IF(AC109=3,SUMIF(AC116:AC120,"&gt;0"),0)</f>
        <v>0</v>
      </c>
      <c r="AD151" s="74">
        <f>IF(AD109=3,SUMIF(AD116:AD120,"&gt;0"),0)</f>
        <v>0</v>
      </c>
      <c r="AF151" s="77">
        <f>IF(AF109=3,SUMIF(AF116:AF120,"&gt;0"),0)</f>
        <v>0</v>
      </c>
      <c r="AG151" s="74">
        <f>SUM(B151:AF151)</f>
        <v>4</v>
      </c>
      <c r="AH151" s="74">
        <f>AG159-AG151</f>
        <v>0</v>
      </c>
    </row>
    <row r="152" spans="1:34" s="74" customFormat="1" ht="12.75" hidden="1" customHeight="1" x14ac:dyDescent="0.25">
      <c r="A152" s="74" t="s">
        <v>72</v>
      </c>
      <c r="B152" s="74">
        <f>IF(B109=4,SUMIF(B116:B120,"&gt;0"),0)</f>
        <v>0</v>
      </c>
      <c r="D152" s="77">
        <f>IF(D109=4,SUMIF(D116:D120,"&gt;0"),0)</f>
        <v>0</v>
      </c>
      <c r="E152" s="74">
        <f>IF(E109=4,SUMIF(E116:E120,"&gt;0"),0)</f>
        <v>0</v>
      </c>
      <c r="G152" s="77">
        <f>IF(G109=4,SUMIF(G116:G120,"&gt;0"),0)</f>
        <v>0</v>
      </c>
      <c r="H152" s="74">
        <f>IF(H109=4,SUMIF(H116:H120,"&gt;0"),0)</f>
        <v>0</v>
      </c>
      <c r="J152" s="77">
        <f>IF(J109=4,SUMIF(J116:J120,"&gt;0"),0)</f>
        <v>0</v>
      </c>
      <c r="K152" s="77"/>
      <c r="L152" s="74">
        <f>IF(L109=4,SUMIF(L116:L120,"&gt;0"),0)</f>
        <v>0</v>
      </c>
      <c r="N152" s="77">
        <f>IF(N109=4,SUMIF(N116:N120,"&gt;0"),0)</f>
        <v>0</v>
      </c>
      <c r="O152" s="74">
        <f>IF(O109=4,SUMIF(O116:O120,"&gt;0"),0)</f>
        <v>0</v>
      </c>
      <c r="Q152" s="77">
        <f>IF(Q109=4,SUMIF(Q116:Q120,"&gt;0"),0)</f>
        <v>0</v>
      </c>
      <c r="R152" s="74">
        <f>IF(R109=4,SUMIF(R116:R120,"&gt;0"),0)</f>
        <v>0</v>
      </c>
      <c r="T152" s="77">
        <f>IF(T109=4,SUMIF(T116:T120,"&gt;0"),0)</f>
        <v>0</v>
      </c>
      <c r="U152" s="74">
        <f>IF(U109=4,SUMIF(U116:U120,"&gt;0"),0)</f>
        <v>0</v>
      </c>
      <c r="W152" s="77">
        <f>IF(W109=4,SUMIF(W116:W120,"&gt;0"),0)</f>
        <v>0</v>
      </c>
      <c r="X152" s="74">
        <f>IF(X109=4,SUMIF(X116:X120,"&gt;0"),0)</f>
        <v>0</v>
      </c>
      <c r="Z152" s="77">
        <f>IF(Z109=4,SUMIF(Z116:Z120,"&gt;0"),0)</f>
        <v>0</v>
      </c>
      <c r="AA152" s="74">
        <f>IF(AA109=4,SUMIF(AA116:AA120,"&gt;0"),0)</f>
        <v>0</v>
      </c>
      <c r="AC152" s="77">
        <f>IF(AC109=4,SUMIF(AC116:AC120,"&gt;0"),0)</f>
        <v>0</v>
      </c>
      <c r="AD152" s="74">
        <f>IF(AD109=4,SUMIF(AD116:AD120,"&gt;0"),0)</f>
        <v>0</v>
      </c>
      <c r="AF152" s="77">
        <f>IF(AF109=4,SUMIF(AF116:AF120,"&gt;0"),0)</f>
        <v>0</v>
      </c>
      <c r="AG152" s="74">
        <f>SUM(B152:AF152)</f>
        <v>0</v>
      </c>
      <c r="AH152" s="74">
        <f>AG160-AG152</f>
        <v>0</v>
      </c>
    </row>
    <row r="153" spans="1:34" s="74" customFormat="1" ht="12.75" hidden="1" customHeight="1" x14ac:dyDescent="0.25">
      <c r="A153" s="74" t="s">
        <v>73</v>
      </c>
      <c r="B153" s="74">
        <f>IF(B109=5,SUMIF(B116:B120,"&gt;0"),0)</f>
        <v>0</v>
      </c>
      <c r="D153" s="77">
        <f>IF(D109=5,SUMIF(D116:D120,"&gt;0"),0)</f>
        <v>0</v>
      </c>
      <c r="E153" s="74">
        <f>IF(E109=5,SUMIF(E116:E120,"&gt;0"),0)</f>
        <v>0</v>
      </c>
      <c r="G153" s="77">
        <f>IF(G109=5,SUMIF(G116:G120,"&gt;0"),0)</f>
        <v>0</v>
      </c>
      <c r="H153" s="74">
        <f>IF(H109=5,SUMIF(H116:H120,"&gt;0"),0)</f>
        <v>0</v>
      </c>
      <c r="J153" s="77">
        <f>IF(J109=5,SUMIF(J116:J120,"&gt;0"),0)</f>
        <v>0</v>
      </c>
      <c r="K153" s="77"/>
      <c r="L153" s="74">
        <f>IF(L109=5,SUMIF(L116:L120,"&gt;0"),0)</f>
        <v>0</v>
      </c>
      <c r="N153" s="77">
        <f>IF(N109=5,SUMIF(N116:N120,"&gt;0"),0)</f>
        <v>0</v>
      </c>
      <c r="O153" s="74">
        <f>IF(O109=5,SUMIF(O116:O120,"&gt;0"),0)</f>
        <v>0</v>
      </c>
      <c r="Q153" s="77">
        <f>IF(Q109=5,SUMIF(Q116:Q120,"&gt;0"),0)</f>
        <v>0</v>
      </c>
      <c r="R153" s="74">
        <f>IF(R109=5,SUMIF(R116:R120,"&gt;0"),0)</f>
        <v>0</v>
      </c>
      <c r="T153" s="77">
        <f>IF(T109=5,SUMIF(T116:T120,"&gt;0"),0)</f>
        <v>0</v>
      </c>
      <c r="U153" s="74">
        <f>IF(U109=5,SUMIF(U116:U120,"&gt;0"),0)</f>
        <v>0</v>
      </c>
      <c r="W153" s="77">
        <f>IF(W109=5,SUMIF(W116:W120,"&gt;0"),0)</f>
        <v>0</v>
      </c>
      <c r="X153" s="74">
        <f>IF(X109=5,SUMIF(X116:X120,"&gt;0"),0)</f>
        <v>0</v>
      </c>
      <c r="Z153" s="77">
        <f>IF(Z109=5,SUMIF(Z116:Z120,"&gt;0"),0)</f>
        <v>0</v>
      </c>
      <c r="AA153" s="74">
        <f>IF(AA109=5,SUMIF(AA116:AA120,"&gt;0"),0)</f>
        <v>0</v>
      </c>
      <c r="AC153" s="77">
        <f>IF(AC109=5,SUMIF(AC116:AC120,"&gt;0"),0)</f>
        <v>0</v>
      </c>
      <c r="AD153" s="74">
        <f>IF(AD109=5,SUMIF(AD116:AD120,"&gt;0"),0)</f>
        <v>0</v>
      </c>
      <c r="AF153" s="77">
        <f>IF(AF109=5,SUMIF(AF116:AF120,"&gt;0"),0)</f>
        <v>0</v>
      </c>
      <c r="AG153" s="74">
        <f>SUM(B153:AF153)</f>
        <v>0</v>
      </c>
      <c r="AH153" s="74">
        <f>AG161-AG153</f>
        <v>0</v>
      </c>
    </row>
    <row r="154" spans="1:34" s="74" customFormat="1" ht="12.75" hidden="1" customHeight="1" x14ac:dyDescent="0.25">
      <c r="D154" s="77"/>
      <c r="G154" s="77"/>
      <c r="J154" s="77"/>
      <c r="K154" s="77"/>
      <c r="N154" s="77"/>
      <c r="Q154" s="77"/>
      <c r="T154" s="77"/>
      <c r="W154" s="77"/>
      <c r="Z154" s="77"/>
      <c r="AC154" s="77"/>
      <c r="AF154" s="77"/>
    </row>
    <row r="155" spans="1:34" s="74" customFormat="1" ht="12.75" hidden="1" customHeight="1" x14ac:dyDescent="0.25">
      <c r="D155" s="77"/>
      <c r="G155" s="77"/>
      <c r="J155" s="77"/>
      <c r="K155" s="77"/>
      <c r="N155" s="77"/>
      <c r="Q155" s="77"/>
      <c r="T155" s="77"/>
      <c r="W155" s="77"/>
      <c r="Z155" s="77"/>
      <c r="AC155" s="77"/>
      <c r="AF155" s="77"/>
    </row>
    <row r="156" spans="1:34" s="74" customFormat="1" ht="51" hidden="1" customHeight="1" x14ac:dyDescent="0.25">
      <c r="A156" s="78" t="s">
        <v>84</v>
      </c>
      <c r="C156" s="74">
        <f>SUMIF(B149:D153,"&gt;0")</f>
        <v>1</v>
      </c>
      <c r="D156" s="77"/>
      <c r="F156" s="74">
        <f>SUMIF(E149:G153,"&gt;0")</f>
        <v>1</v>
      </c>
      <c r="G156" s="77"/>
      <c r="I156" s="74">
        <f>SUMIF(H149:J153,"&gt;0")</f>
        <v>1</v>
      </c>
      <c r="J156" s="77"/>
      <c r="K156" s="77"/>
      <c r="M156" s="74">
        <f>SUMIF(L149:N153,"&gt;0")</f>
        <v>1</v>
      </c>
      <c r="N156" s="77"/>
      <c r="P156" s="74">
        <f>SUMIF(O149:Q153,"&gt;0")</f>
        <v>1</v>
      </c>
      <c r="Q156" s="77"/>
      <c r="S156" s="74">
        <f>SUMIF(R149:T153,"&gt;0")</f>
        <v>1</v>
      </c>
      <c r="T156" s="77"/>
      <c r="V156" s="74">
        <f>SUMIF(U149:W153,"&gt;0")</f>
        <v>0</v>
      </c>
      <c r="W156" s="77"/>
      <c r="Y156" s="74">
        <f>SUMIF(X149:Z153,"&gt;0")</f>
        <v>0</v>
      </c>
      <c r="Z156" s="77"/>
      <c r="AB156" s="74">
        <f>SUMIF(AA149:AC153,"&gt;0")</f>
        <v>0</v>
      </c>
      <c r="AC156" s="77"/>
      <c r="AE156" s="74">
        <f>SUMIF(AD149:AF153,"&gt;0")</f>
        <v>0</v>
      </c>
      <c r="AF156" s="77"/>
      <c r="AG156" s="78" t="s">
        <v>85</v>
      </c>
    </row>
    <row r="157" spans="1:34" s="74" customFormat="1" ht="12.75" hidden="1" customHeight="1" x14ac:dyDescent="0.25">
      <c r="A157" s="74" t="s">
        <v>75</v>
      </c>
      <c r="B157" s="74">
        <f>IF(B109=1,C156,0)</f>
        <v>1</v>
      </c>
      <c r="D157" s="77">
        <f>IF(D109=1,C156,0)</f>
        <v>0</v>
      </c>
      <c r="E157" s="74">
        <f>IF(E109=1,F156,0)</f>
        <v>0</v>
      </c>
      <c r="G157" s="77">
        <f>IF(G109=1,F156,0)</f>
        <v>0</v>
      </c>
      <c r="H157" s="74">
        <f>IF(H109=1,I156,0)</f>
        <v>1</v>
      </c>
      <c r="J157" s="77">
        <f>IF(J109=1,I156,0)</f>
        <v>0</v>
      </c>
      <c r="K157" s="77"/>
      <c r="L157" s="74">
        <f>IF(L109=1,M156,0)</f>
        <v>1</v>
      </c>
      <c r="N157" s="77">
        <f>IF(N109=1,M156,0)</f>
        <v>0</v>
      </c>
      <c r="O157" s="74">
        <f>IF(O109=1,P156,0)</f>
        <v>0</v>
      </c>
      <c r="Q157" s="77">
        <f>IF(Q109=1,P156,0)</f>
        <v>0</v>
      </c>
      <c r="R157" s="74">
        <f>IF(R109=1,S156,0)</f>
        <v>1</v>
      </c>
      <c r="T157" s="77">
        <f>IF(T109=1,S156,0)</f>
        <v>0</v>
      </c>
      <c r="U157" s="74">
        <f>IF(U109=1,V156,0)</f>
        <v>0</v>
      </c>
      <c r="W157" s="77">
        <f>IF(W109=1,V156,0)</f>
        <v>0</v>
      </c>
      <c r="X157" s="74">
        <f>IF(X109=1,Y156,0)</f>
        <v>0</v>
      </c>
      <c r="Z157" s="77">
        <f>IF(Z109=1,Y156,0)</f>
        <v>0</v>
      </c>
      <c r="AA157" s="74">
        <f>IF(AA109=1,AB156,0)</f>
        <v>0</v>
      </c>
      <c r="AC157" s="77">
        <f>IF(AC109=1,AB156,0)</f>
        <v>0</v>
      </c>
      <c r="AD157" s="74">
        <f>IF(AD109=1,AE156,0)</f>
        <v>0</v>
      </c>
      <c r="AF157" s="77">
        <f>IF(AF109=1,AE156,0)</f>
        <v>0</v>
      </c>
      <c r="AG157" s="74">
        <f>SUM(B157:AF157)</f>
        <v>4</v>
      </c>
    </row>
    <row r="158" spans="1:34" s="74" customFormat="1" ht="12.75" hidden="1" customHeight="1" x14ac:dyDescent="0.25">
      <c r="A158" s="74" t="s">
        <v>76</v>
      </c>
      <c r="B158" s="74">
        <f>IF(B109=2,C156,0)</f>
        <v>0</v>
      </c>
      <c r="D158" s="77">
        <f>IF(D109=2,C156,0)</f>
        <v>0</v>
      </c>
      <c r="E158" s="74">
        <f>IF(E109=2,F156,0)</f>
        <v>1</v>
      </c>
      <c r="G158" s="77">
        <f>IF(G109=2,F156,0)</f>
        <v>0</v>
      </c>
      <c r="H158" s="74">
        <f>IF(H109=2,I156,0)</f>
        <v>0</v>
      </c>
      <c r="J158" s="77">
        <f>IF(J109=2,I156,0)</f>
        <v>1</v>
      </c>
      <c r="K158" s="77"/>
      <c r="L158" s="74">
        <f>IF(L109=2,M156,0)</f>
        <v>0</v>
      </c>
      <c r="N158" s="77">
        <f>IF(N109=2,M156,0)</f>
        <v>0</v>
      </c>
      <c r="O158" s="74">
        <f>IF(O109=2,P156,0)</f>
        <v>1</v>
      </c>
      <c r="Q158" s="77">
        <f>IF(Q109=2,P156,0)</f>
        <v>0</v>
      </c>
      <c r="R158" s="74">
        <f>IF(R109=2,S156,0)</f>
        <v>0</v>
      </c>
      <c r="T158" s="77">
        <f>IF(T109=2,S156,0)</f>
        <v>1</v>
      </c>
      <c r="U158" s="74">
        <f>IF(U109=2,V156,0)</f>
        <v>0</v>
      </c>
      <c r="W158" s="77">
        <f>IF(W109=2,V156,0)</f>
        <v>0</v>
      </c>
      <c r="X158" s="74">
        <f>IF(X109=2,Y156,0)</f>
        <v>0</v>
      </c>
      <c r="Z158" s="77">
        <f>IF(Z109=2,Y156,0)</f>
        <v>0</v>
      </c>
      <c r="AA158" s="74">
        <f>IF(AA109=2,AB156,0)</f>
        <v>0</v>
      </c>
      <c r="AC158" s="77">
        <f>IF(AC109=2,AB156,0)</f>
        <v>0</v>
      </c>
      <c r="AD158" s="74">
        <f>IF(AD109=2,AE156,0)</f>
        <v>0</v>
      </c>
      <c r="AF158" s="77">
        <f>IF(AF109=2,AE156,0)</f>
        <v>0</v>
      </c>
      <c r="AG158" s="74">
        <f>SUM(B158:AF158)</f>
        <v>4</v>
      </c>
    </row>
    <row r="159" spans="1:34" s="74" customFormat="1" ht="12.75" hidden="1" customHeight="1" x14ac:dyDescent="0.25">
      <c r="A159" s="74" t="s">
        <v>77</v>
      </c>
      <c r="B159" s="74">
        <f>IF(B109=3,C156,0)</f>
        <v>0</v>
      </c>
      <c r="D159" s="77">
        <f>IF(D109=3,C156,0)</f>
        <v>1</v>
      </c>
      <c r="E159" s="74">
        <f>IF(E109=3,F156,0)</f>
        <v>0</v>
      </c>
      <c r="G159" s="77">
        <f>IF(G109=3,F156,0)</f>
        <v>1</v>
      </c>
      <c r="H159" s="74">
        <f>IF(H109=3,I156,0)</f>
        <v>0</v>
      </c>
      <c r="J159" s="77">
        <f>IF(J109=3,I156,0)</f>
        <v>0</v>
      </c>
      <c r="K159" s="77"/>
      <c r="L159" s="74">
        <f>IF(L109=3,M156,0)</f>
        <v>0</v>
      </c>
      <c r="N159" s="77">
        <f>IF(N109=3,M156,0)</f>
        <v>1</v>
      </c>
      <c r="O159" s="74">
        <f>IF(O109=3,P156,0)</f>
        <v>0</v>
      </c>
      <c r="Q159" s="77">
        <f>IF(Q109=3,P156,0)</f>
        <v>1</v>
      </c>
      <c r="R159" s="74">
        <f>IF(R109=3,S156,0)</f>
        <v>0</v>
      </c>
      <c r="T159" s="77">
        <f>IF(T109=3,S156,0)</f>
        <v>0</v>
      </c>
      <c r="U159" s="74">
        <f>IF(U109=3,V156,0)</f>
        <v>0</v>
      </c>
      <c r="W159" s="77">
        <f>IF(W109=3,V156,0)</f>
        <v>0</v>
      </c>
      <c r="X159" s="74">
        <f>IF(X109=3,Y156,0)</f>
        <v>0</v>
      </c>
      <c r="Z159" s="77">
        <f>IF(Z109=3,Y156,0)</f>
        <v>0</v>
      </c>
      <c r="AA159" s="74">
        <f>IF(AA109=3,AB156,0)</f>
        <v>0</v>
      </c>
      <c r="AC159" s="77">
        <f>IF(AC109=3,AB156,0)</f>
        <v>0</v>
      </c>
      <c r="AD159" s="74">
        <f>IF(AD109=3,AE156,0)</f>
        <v>0</v>
      </c>
      <c r="AF159" s="77">
        <f>IF(AF109=3,AE156,0)</f>
        <v>0</v>
      </c>
      <c r="AG159" s="74">
        <f>SUM(B159:AF159)</f>
        <v>4</v>
      </c>
    </row>
    <row r="160" spans="1:34" s="74" customFormat="1" ht="12.75" hidden="1" customHeight="1" x14ac:dyDescent="0.25">
      <c r="A160" s="74" t="s">
        <v>78</v>
      </c>
      <c r="B160" s="74">
        <f>IF(B109=4,C156,0)</f>
        <v>0</v>
      </c>
      <c r="D160" s="77">
        <f>IF(D109=4,C156,0)</f>
        <v>0</v>
      </c>
      <c r="E160" s="74">
        <f>IF(E109=4,F156,0)</f>
        <v>0</v>
      </c>
      <c r="G160" s="77">
        <f>IF(G109=4,F156,0)</f>
        <v>0</v>
      </c>
      <c r="H160" s="74">
        <f>IF(H109=4,I156,0)</f>
        <v>0</v>
      </c>
      <c r="J160" s="77">
        <f>IF(J109=4,I156,0)</f>
        <v>0</v>
      </c>
      <c r="K160" s="77"/>
      <c r="L160" s="74">
        <f>IF(L109=4,M156,0)</f>
        <v>0</v>
      </c>
      <c r="N160" s="77">
        <f>IF(N109=4,M156,0)</f>
        <v>0</v>
      </c>
      <c r="O160" s="74">
        <f>IF(O109=4,P156,0)</f>
        <v>0</v>
      </c>
      <c r="Q160" s="77">
        <f>IF(Q109=4,P156,0)</f>
        <v>0</v>
      </c>
      <c r="R160" s="74">
        <f>IF(R109=4,S156,0)</f>
        <v>0</v>
      </c>
      <c r="T160" s="77">
        <f>IF(T109=4,S156,0)</f>
        <v>0</v>
      </c>
      <c r="U160" s="74">
        <f>IF(U109=4,V156,0)</f>
        <v>0</v>
      </c>
      <c r="W160" s="77">
        <f>IF(W109=4,V156,0)</f>
        <v>0</v>
      </c>
      <c r="X160" s="74">
        <f>IF(X109=4,Y156,0)</f>
        <v>0</v>
      </c>
      <c r="Z160" s="77">
        <f>IF(Z109=4,Y156,0)</f>
        <v>0</v>
      </c>
      <c r="AA160" s="74">
        <f>IF(AA109=4,AB156,0)</f>
        <v>0</v>
      </c>
      <c r="AC160" s="77">
        <f>IF(AC109=4,AB156,0)</f>
        <v>0</v>
      </c>
      <c r="AD160" s="74">
        <f>IF(AD109=4,AE156,0)</f>
        <v>0</v>
      </c>
      <c r="AF160" s="77">
        <f>IF(AF109=4,AE156,0)</f>
        <v>0</v>
      </c>
      <c r="AG160" s="74">
        <f>SUM(B160:AF160)</f>
        <v>0</v>
      </c>
    </row>
    <row r="161" spans="1:81" s="74" customFormat="1" ht="12.75" hidden="1" customHeight="1" x14ac:dyDescent="0.25">
      <c r="A161" s="74" t="s">
        <v>79</v>
      </c>
      <c r="B161" s="74">
        <f>IF(B109=5,C156,0)</f>
        <v>0</v>
      </c>
      <c r="D161" s="77">
        <f>IF(D109=5,C156,0)</f>
        <v>0</v>
      </c>
      <c r="E161" s="74">
        <f>IF(E109=5,F156,0)</f>
        <v>0</v>
      </c>
      <c r="G161" s="77">
        <f>IF(G109=5,F156,0)</f>
        <v>0</v>
      </c>
      <c r="H161" s="74">
        <f>IF(H109=5,I156,0)</f>
        <v>0</v>
      </c>
      <c r="J161" s="77">
        <f>IF(J109=5,I156,0)</f>
        <v>0</v>
      </c>
      <c r="K161" s="77"/>
      <c r="L161" s="74">
        <f>IF(L109=5,M156,0)</f>
        <v>0</v>
      </c>
      <c r="N161" s="77">
        <f>IF(N109=5,M156,0)</f>
        <v>0</v>
      </c>
      <c r="O161" s="74">
        <f>IF(O109=5,P156,0)</f>
        <v>0</v>
      </c>
      <c r="Q161" s="77">
        <f>IF(Q109=5,P156,0)</f>
        <v>0</v>
      </c>
      <c r="R161" s="74">
        <f>IF(R109=5,S156,0)</f>
        <v>0</v>
      </c>
      <c r="T161" s="77">
        <f>IF(T109=5,S156,0)</f>
        <v>0</v>
      </c>
      <c r="U161" s="74">
        <f>IF(U109=5,V156,0)</f>
        <v>0</v>
      </c>
      <c r="W161" s="77">
        <f>IF(W109=5,V156,0)</f>
        <v>0</v>
      </c>
      <c r="X161" s="74">
        <f>IF(X109=5,Y156,0)</f>
        <v>0</v>
      </c>
      <c r="Z161" s="77">
        <f>IF(Z109=5,Y156,0)</f>
        <v>0</v>
      </c>
      <c r="AA161" s="74">
        <f>IF(AA109=5,AB156,0)</f>
        <v>0</v>
      </c>
      <c r="AC161" s="77">
        <f>IF(AC109=5,AB156,0)</f>
        <v>0</v>
      </c>
      <c r="AD161" s="74">
        <f>IF(AD109=5,AE156,0)</f>
        <v>0</v>
      </c>
      <c r="AF161" s="77">
        <f>IF(AF109=5,AE156,0)</f>
        <v>0</v>
      </c>
      <c r="AG161" s="74">
        <f>SUM(B161:AF161)</f>
        <v>0</v>
      </c>
    </row>
    <row r="162" spans="1:81" hidden="1" x14ac:dyDescent="0.25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79"/>
      <c r="AN162" s="79"/>
      <c r="AO162" s="80"/>
      <c r="AP162" s="80"/>
      <c r="AQ162" s="80"/>
      <c r="AR162" s="80"/>
      <c r="AS162" s="81"/>
      <c r="AT162" s="81"/>
      <c r="AU162" s="81"/>
      <c r="AV162" s="81"/>
      <c r="AW162" s="82"/>
      <c r="BB162" s="82"/>
      <c r="BE162" s="82"/>
      <c r="BH162" s="82"/>
      <c r="BK162" s="82"/>
      <c r="BN162" s="82"/>
      <c r="BQ162" s="82"/>
      <c r="BT162" s="82"/>
      <c r="BW162" s="82"/>
      <c r="BZ162" s="82"/>
      <c r="CC162" s="82"/>
    </row>
    <row r="163" spans="1:81" s="81" customFormat="1" hidden="1" x14ac:dyDescent="0.25">
      <c r="A163" s="83"/>
      <c r="B163" s="83"/>
      <c r="C163" s="83" t="s">
        <v>86</v>
      </c>
      <c r="D163" s="83">
        <v>1</v>
      </c>
      <c r="E163" s="83"/>
      <c r="F163" s="83"/>
      <c r="G163" s="83">
        <v>2</v>
      </c>
      <c r="H163" s="83"/>
      <c r="I163" s="83"/>
      <c r="J163" s="83">
        <v>3</v>
      </c>
      <c r="K163" s="83"/>
      <c r="L163" s="83"/>
      <c r="M163" s="83"/>
      <c r="N163" s="83">
        <v>4</v>
      </c>
      <c r="O163" s="83"/>
      <c r="P163" s="83"/>
      <c r="Q163" s="83">
        <v>5</v>
      </c>
      <c r="R163" s="83"/>
      <c r="S163" s="83"/>
      <c r="T163" s="83">
        <v>6</v>
      </c>
      <c r="U163" s="83"/>
      <c r="V163" s="83"/>
      <c r="W163" s="83">
        <v>7</v>
      </c>
      <c r="X163" s="83"/>
      <c r="Y163" s="83"/>
      <c r="Z163" s="83">
        <v>8</v>
      </c>
      <c r="AA163" s="83"/>
      <c r="AB163" s="83"/>
      <c r="AC163" s="83">
        <v>9</v>
      </c>
      <c r="AD163" s="83"/>
      <c r="AE163" s="83"/>
      <c r="AF163" s="83">
        <v>10</v>
      </c>
      <c r="AG163"/>
      <c r="AH163" s="83"/>
      <c r="AJ163" s="84"/>
      <c r="AK163"/>
      <c r="AL163"/>
      <c r="AM163"/>
      <c r="AN163"/>
      <c r="AO163"/>
      <c r="AP163"/>
      <c r="AT163" s="84" t="s">
        <v>87</v>
      </c>
      <c r="AW163" s="85"/>
      <c r="BB163" s="85"/>
      <c r="BE163" s="85"/>
      <c r="BH163" s="85"/>
      <c r="BK163" s="85"/>
      <c r="BN163" s="85"/>
      <c r="BQ163" s="85"/>
      <c r="BT163" s="85"/>
      <c r="BW163" s="85"/>
      <c r="BZ163" s="85"/>
      <c r="CC163" s="85"/>
    </row>
    <row r="164" spans="1:81" s="81" customFormat="1" hidden="1" x14ac:dyDescent="0.25">
      <c r="A164" s="86">
        <v>1</v>
      </c>
      <c r="B164" s="86" t="str">
        <f>E93</f>
        <v>Foothills Vanessa</v>
      </c>
      <c r="C164" s="86">
        <f>VLOOKUP(B164,AU$3:AY$33,3,FALSE)</f>
        <v>1185.4695015289756</v>
      </c>
      <c r="D164" s="86">
        <f>IF(B157,B172,IF(D157,D172,C164))</f>
        <v>1176.7347507644879</v>
      </c>
      <c r="E164" s="86"/>
      <c r="F164" s="86"/>
      <c r="G164" s="86">
        <f>IF(E157,E172,IF(G157,G172,D164))</f>
        <v>1176.7347507644879</v>
      </c>
      <c r="H164" s="86"/>
      <c r="I164" s="86"/>
      <c r="J164" s="86">
        <f>IF(H157,H172,IF(J157,J172,G164))</f>
        <v>1167.7588008126882</v>
      </c>
      <c r="K164" s="86"/>
      <c r="L164" s="86"/>
      <c r="M164" s="86"/>
      <c r="N164" s="86">
        <f>IF(L157,L172,IF(N157,N172,J164))</f>
        <v>1159.8042320195225</v>
      </c>
      <c r="O164" s="86"/>
      <c r="P164" s="86"/>
      <c r="Q164" s="86">
        <f>IF(O157,O172,IF(Q157,Q172,N164))</f>
        <v>1159.8042320195225</v>
      </c>
      <c r="R164" s="86"/>
      <c r="S164" s="86"/>
      <c r="T164" s="86">
        <f>IF(R157,R172,IF(T157,T172,Q164))</f>
        <v>1167.2548445511111</v>
      </c>
      <c r="U164" s="86"/>
      <c r="V164" s="86"/>
      <c r="W164" s="86">
        <f>IF(U157,U172,IF(W157,W172,T164))</f>
        <v>1167.2548445511111</v>
      </c>
      <c r="X164" s="86"/>
      <c r="Y164" s="86"/>
      <c r="Z164" s="86">
        <f>IF(X157,X172,IF(Z157,Z172,W164))</f>
        <v>1167.2548445511111</v>
      </c>
      <c r="AA164" s="86"/>
      <c r="AB164" s="86"/>
      <c r="AC164" s="86">
        <f>IF(AA157,AA172,IF(AC157,AC172,Z164))</f>
        <v>1167.2548445511111</v>
      </c>
      <c r="AD164" s="86"/>
      <c r="AE164" s="86"/>
      <c r="AF164" s="86">
        <f>IF(AD157,AD172,IF(AF157,AF172,AC164))</f>
        <v>1167.2548445511111</v>
      </c>
      <c r="AG164"/>
      <c r="AH164"/>
      <c r="AK164"/>
      <c r="AL164"/>
      <c r="AM164"/>
      <c r="AN164"/>
      <c r="AO164"/>
      <c r="AP164"/>
      <c r="AT164" s="81" t="str">
        <f>B164</f>
        <v>Foothills Vanessa</v>
      </c>
      <c r="AU164" s="81">
        <f>AF164</f>
        <v>1167.2548445511111</v>
      </c>
      <c r="AW164" s="85"/>
      <c r="BB164" s="85"/>
      <c r="BE164" s="85"/>
      <c r="BH164" s="85"/>
      <c r="BK164" s="85"/>
      <c r="BN164" s="85"/>
      <c r="BQ164" s="85"/>
      <c r="BT164" s="85"/>
      <c r="BW164" s="85"/>
      <c r="BZ164" s="85"/>
      <c r="CC164" s="85"/>
    </row>
    <row r="165" spans="1:81" s="81" customFormat="1" hidden="1" x14ac:dyDescent="0.25">
      <c r="A165" s="86">
        <v>2</v>
      </c>
      <c r="B165" s="86" t="str">
        <f>E95</f>
        <v>C1VB Juniors Grey</v>
      </c>
      <c r="C165" s="86">
        <f>VLOOKUP(B165,AU$3:AY$33,3,FALSE)</f>
        <v>1141.6652427363483</v>
      </c>
      <c r="D165" s="86">
        <f>IF(B158,B172,IF(D158,D172,C165))</f>
        <v>1141.6652427363483</v>
      </c>
      <c r="E165" s="86"/>
      <c r="F165" s="86"/>
      <c r="G165" s="86">
        <f>IF(E158,E172,IF(G158,G172,D165))</f>
        <v>1134.1376207630258</v>
      </c>
      <c r="H165" s="86"/>
      <c r="I165" s="86"/>
      <c r="J165" s="86">
        <f>IF(H158,H172,IF(J158,J172,G165))</f>
        <v>1143.1135707148255</v>
      </c>
      <c r="K165" s="86"/>
      <c r="L165" s="86"/>
      <c r="M165" s="86"/>
      <c r="N165" s="86">
        <f>IF(L158,L172,IF(N158,N172,J165))</f>
        <v>1143.1135707148255</v>
      </c>
      <c r="O165" s="86"/>
      <c r="P165" s="86"/>
      <c r="Q165" s="86">
        <f>IF(O158,O172,IF(Q158,Q172,N165))</f>
        <v>1135.9070233278555</v>
      </c>
      <c r="R165" s="86"/>
      <c r="S165" s="86"/>
      <c r="T165" s="86">
        <f>IF(R158,R172,IF(T158,T172,Q165))</f>
        <v>1128.4564107962669</v>
      </c>
      <c r="U165" s="86"/>
      <c r="V165" s="86"/>
      <c r="W165" s="86">
        <f>IF(U158,U172,IF(W158,W172,T165))</f>
        <v>1128.4564107962669</v>
      </c>
      <c r="X165" s="86"/>
      <c r="Y165" s="86"/>
      <c r="Z165" s="86">
        <f>IF(X158,X172,IF(Z158,Z172,W165))</f>
        <v>1128.4564107962669</v>
      </c>
      <c r="AA165" s="86"/>
      <c r="AB165" s="86"/>
      <c r="AC165" s="86">
        <f>IF(AA158,AA172,IF(AC158,AC172,Z165))</f>
        <v>1128.4564107962669</v>
      </c>
      <c r="AD165" s="86"/>
      <c r="AE165" s="86"/>
      <c r="AF165" s="86">
        <f>IF(AD158,AD172,IF(AF158,AF172,AC165))</f>
        <v>1128.4564107962669</v>
      </c>
      <c r="AG165"/>
      <c r="AH165"/>
      <c r="AK165"/>
      <c r="AM165"/>
      <c r="AN165"/>
      <c r="AO165"/>
      <c r="AP165"/>
      <c r="AT165" s="81" t="str">
        <f>B165</f>
        <v>C1VB Juniors Grey</v>
      </c>
      <c r="AU165" s="81">
        <f>AF165</f>
        <v>1128.4564107962669</v>
      </c>
      <c r="AW165" s="85"/>
      <c r="BB165" s="85"/>
      <c r="BE165" s="85"/>
      <c r="BH165" s="85"/>
      <c r="BK165" s="85"/>
      <c r="BN165" s="85"/>
      <c r="BQ165" s="85"/>
      <c r="BT165" s="85"/>
      <c r="BW165" s="85"/>
      <c r="BZ165" s="85"/>
      <c r="CC165" s="85"/>
    </row>
    <row r="166" spans="1:81" s="81" customFormat="1" hidden="1" x14ac:dyDescent="0.25">
      <c r="A166" s="86">
        <v>3</v>
      </c>
      <c r="B166" s="86" t="str">
        <f>E97</f>
        <v>MOTO 12'1</v>
      </c>
      <c r="C166" s="86">
        <f>VLOOKUP(B166,AU$3:AY$33,3,FALSE)</f>
        <v>1153.4695015289756</v>
      </c>
      <c r="D166" s="86">
        <f>IF(B159,B172,IF(D159,D172,C166))</f>
        <v>1162.2042522934632</v>
      </c>
      <c r="E166" s="86"/>
      <c r="F166" s="86"/>
      <c r="G166" s="86">
        <f>IF(E159,E172,IF(G159,G172,D166))</f>
        <v>1169.7318742667858</v>
      </c>
      <c r="H166" s="86"/>
      <c r="I166" s="86"/>
      <c r="J166" s="86">
        <f>IF(H159,H172,IF(J159,J172,G166))</f>
        <v>1169.7318742667858</v>
      </c>
      <c r="K166" s="86"/>
      <c r="L166" s="86"/>
      <c r="M166" s="86"/>
      <c r="N166" s="86">
        <f>IF(L159,L172,IF(N159,N172,J166))</f>
        <v>1177.6864430599514</v>
      </c>
      <c r="O166" s="86"/>
      <c r="P166" s="86"/>
      <c r="Q166" s="86">
        <f>IF(O159,O172,IF(Q159,Q172,N166))</f>
        <v>1184.8929904469214</v>
      </c>
      <c r="R166" s="86"/>
      <c r="S166" s="86"/>
      <c r="T166" s="86">
        <f>IF(R159,R172,IF(T159,T172,Q166))</f>
        <v>1184.8929904469214</v>
      </c>
      <c r="U166" s="86"/>
      <c r="V166" s="86"/>
      <c r="W166" s="86">
        <f>IF(U159,U172,IF(W159,W172,T166))</f>
        <v>1184.8929904469214</v>
      </c>
      <c r="X166" s="86"/>
      <c r="Y166" s="86"/>
      <c r="Z166" s="86">
        <f>IF(X159,X172,IF(Z159,Z172,W166))</f>
        <v>1184.8929904469214</v>
      </c>
      <c r="AA166" s="86"/>
      <c r="AB166" s="86"/>
      <c r="AC166" s="86">
        <f>IF(AA159,AA172,IF(AC159,AC172,Z166))</f>
        <v>1184.8929904469214</v>
      </c>
      <c r="AD166" s="86"/>
      <c r="AE166" s="86"/>
      <c r="AF166" s="86">
        <f>IF(AD159,AD172,IF(AF159,AF172,AC166))</f>
        <v>1184.8929904469214</v>
      </c>
      <c r="AG166"/>
      <c r="AH166"/>
      <c r="AK166"/>
      <c r="AM166"/>
      <c r="AN166"/>
      <c r="AO166"/>
      <c r="AP166"/>
      <c r="AT166" s="81" t="str">
        <f>B166</f>
        <v>MOTO 12'1</v>
      </c>
      <c r="AU166" s="81">
        <f>AF166</f>
        <v>1184.8929904469214</v>
      </c>
      <c r="AW166" s="85"/>
      <c r="BB166" s="85"/>
      <c r="BE166" s="85"/>
      <c r="BH166" s="85"/>
      <c r="BK166" s="85"/>
      <c r="BN166" s="85"/>
      <c r="BQ166" s="85"/>
      <c r="BT166" s="85"/>
      <c r="BW166" s="85"/>
      <c r="BZ166" s="85"/>
      <c r="CC166" s="85"/>
    </row>
    <row r="167" spans="1:81" s="81" customFormat="1" hidden="1" x14ac:dyDescent="0.25">
      <c r="A167" s="86">
        <v>4</v>
      </c>
      <c r="B167" s="86">
        <f>E99</f>
        <v>0</v>
      </c>
      <c r="C167" s="86" t="e">
        <f>VLOOKUP(B167,AU$3:AY$33,3,FALSE)</f>
        <v>#N/A</v>
      </c>
      <c r="D167" s="86" t="e">
        <f>IF(B160,B172,IF(D160,D172,C167))</f>
        <v>#N/A</v>
      </c>
      <c r="E167" s="86"/>
      <c r="F167" s="86"/>
      <c r="G167" s="86" t="e">
        <f>IF(E160,E172,IF(G160,G172,D167))</f>
        <v>#N/A</v>
      </c>
      <c r="H167" s="86"/>
      <c r="I167" s="86"/>
      <c r="J167" s="86" t="e">
        <f>IF(H160,H172,IF(J160,J172,G167))</f>
        <v>#N/A</v>
      </c>
      <c r="K167" s="86"/>
      <c r="L167" s="86"/>
      <c r="M167" s="86"/>
      <c r="N167" s="86" t="e">
        <f>IF(L160,L172,IF(N160,N172,J167))</f>
        <v>#N/A</v>
      </c>
      <c r="O167" s="86"/>
      <c r="P167" s="86"/>
      <c r="Q167" s="86" t="e">
        <f>IF(O160,O172,IF(Q160,Q172,N167))</f>
        <v>#N/A</v>
      </c>
      <c r="R167" s="86"/>
      <c r="S167" s="86"/>
      <c r="T167" s="86" t="e">
        <f>IF(R160,R172,IF(T160,T172,Q167))</f>
        <v>#N/A</v>
      </c>
      <c r="U167" s="86"/>
      <c r="V167" s="86"/>
      <c r="W167" s="86" t="e">
        <f>IF(U160,U172,IF(W160,W172,T167))</f>
        <v>#N/A</v>
      </c>
      <c r="X167" s="86"/>
      <c r="Y167" s="86"/>
      <c r="Z167" s="86" t="e">
        <f>IF(X160,X172,IF(Z160,Z172,W167))</f>
        <v>#N/A</v>
      </c>
      <c r="AA167" s="86"/>
      <c r="AB167" s="86"/>
      <c r="AC167" s="86" t="e">
        <f>IF(AA160,AA172,IF(AC160,AC172,Z167))</f>
        <v>#N/A</v>
      </c>
      <c r="AD167" s="86"/>
      <c r="AE167" s="86"/>
      <c r="AF167" s="86" t="e">
        <f>IF(AD160,AD172,IF(AF160,AF172,AC167))</f>
        <v>#N/A</v>
      </c>
      <c r="AG167"/>
      <c r="AH167"/>
      <c r="AK167"/>
      <c r="AM167"/>
      <c r="AN167"/>
      <c r="AO167"/>
      <c r="AP167"/>
      <c r="AT167" s="81">
        <f>B167</f>
        <v>0</v>
      </c>
      <c r="AU167" s="81" t="e">
        <f>AF167</f>
        <v>#N/A</v>
      </c>
      <c r="AW167" s="85"/>
      <c r="BB167" s="85"/>
      <c r="BE167" s="85"/>
      <c r="BH167" s="85"/>
      <c r="BK167" s="85"/>
      <c r="BN167" s="85"/>
      <c r="BQ167" s="85"/>
      <c r="BT167" s="85"/>
      <c r="BW167" s="85"/>
      <c r="BZ167" s="85"/>
      <c r="CC167" s="85"/>
    </row>
    <row r="168" spans="1:81" s="81" customFormat="1" hidden="1" x14ac:dyDescent="0.25">
      <c r="A168" s="86">
        <v>5</v>
      </c>
      <c r="B168" s="86">
        <f>E101</f>
        <v>0</v>
      </c>
      <c r="C168" s="86" t="e">
        <f>VLOOKUP(B168,AU$3:AY$33,3,FALSE)</f>
        <v>#N/A</v>
      </c>
      <c r="D168" s="86" t="e">
        <f>IF(B161,B172,IF(D161,D172,C168))</f>
        <v>#N/A</v>
      </c>
      <c r="E168" s="86"/>
      <c r="F168" s="86"/>
      <c r="G168" s="86" t="e">
        <f>IF(E161,E172,IF(G161,G172,D168))</f>
        <v>#N/A</v>
      </c>
      <c r="H168" s="86"/>
      <c r="I168" s="86"/>
      <c r="J168" s="86" t="e">
        <f>IF(H161,H172,IF(J161,J172,G168))</f>
        <v>#N/A</v>
      </c>
      <c r="K168" s="86"/>
      <c r="L168" s="86"/>
      <c r="M168" s="86"/>
      <c r="N168" s="86" t="e">
        <f>IF(L161,L172,IF(N161,N172,J168))</f>
        <v>#N/A</v>
      </c>
      <c r="O168" s="86"/>
      <c r="P168" s="86"/>
      <c r="Q168" s="86" t="e">
        <f>IF(O161,O172,IF(Q161,Q172,N168))</f>
        <v>#N/A</v>
      </c>
      <c r="R168" s="86"/>
      <c r="S168" s="86"/>
      <c r="T168" s="86" t="e">
        <f>IF(R161,R172,IF(T161,T172,Q168))</f>
        <v>#N/A</v>
      </c>
      <c r="U168" s="86"/>
      <c r="V168" s="86"/>
      <c r="W168" s="86" t="e">
        <f>IF(U161,U172,IF(W161,W172,T168))</f>
        <v>#N/A</v>
      </c>
      <c r="X168" s="86"/>
      <c r="Y168" s="86"/>
      <c r="Z168" s="86" t="e">
        <f>IF(X161,X172,IF(Z161,Z172,W168))</f>
        <v>#N/A</v>
      </c>
      <c r="AA168" s="86"/>
      <c r="AB168" s="86"/>
      <c r="AC168" s="86" t="e">
        <f>IF(AA161,AA172,IF(AC161,AC172,Z168))</f>
        <v>#N/A</v>
      </c>
      <c r="AD168" s="86"/>
      <c r="AE168" s="86"/>
      <c r="AF168" s="86" t="e">
        <f>IF(AD161,AD172,IF(AF161,AF172,AC168))</f>
        <v>#N/A</v>
      </c>
      <c r="AG168"/>
      <c r="AH168"/>
      <c r="AK168"/>
      <c r="AM168"/>
      <c r="AN168"/>
      <c r="AO168"/>
      <c r="AP168"/>
      <c r="AT168" s="81">
        <f>B168</f>
        <v>0</v>
      </c>
      <c r="AU168" s="81" t="e">
        <f>AF168</f>
        <v>#N/A</v>
      </c>
      <c r="AW168" s="85"/>
      <c r="BB168" s="85"/>
      <c r="BE168" s="85"/>
      <c r="BH168" s="85"/>
      <c r="BK168" s="85"/>
      <c r="BN168" s="85"/>
      <c r="BQ168" s="85"/>
      <c r="BT168" s="85"/>
      <c r="BW168" s="85"/>
      <c r="BZ168" s="85"/>
      <c r="CC168" s="85"/>
    </row>
    <row r="169" spans="1:81" s="81" customFormat="1" hidden="1" x14ac:dyDescent="0.25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/>
      <c r="AH169"/>
      <c r="AK169"/>
      <c r="AM169"/>
      <c r="AN169"/>
      <c r="AO169"/>
      <c r="AP169"/>
      <c r="AW169" s="85"/>
      <c r="BB169" s="85"/>
      <c r="BE169" s="85"/>
      <c r="BH169" s="85"/>
      <c r="BK169" s="85"/>
      <c r="BN169" s="85"/>
      <c r="BQ169" s="85"/>
      <c r="BT169" s="85"/>
      <c r="BW169" s="85"/>
      <c r="BZ169" s="85"/>
      <c r="CC169" s="85"/>
    </row>
    <row r="170" spans="1:81" s="81" customFormat="1" hidden="1" x14ac:dyDescent="0.25">
      <c r="A170" s="86" t="s">
        <v>88</v>
      </c>
      <c r="B170" s="86">
        <f>VLOOKUP(B109,$A164:$AF168,3,FALSE)</f>
        <v>1185.4695015289756</v>
      </c>
      <c r="C170" s="86">
        <v>1</v>
      </c>
      <c r="D170" s="86">
        <f>VLOOKUP(D109,$A164:$AF168,3,FALSE)</f>
        <v>1153.4695015289756</v>
      </c>
      <c r="E170" s="86">
        <f>VLOOKUP(E109,$A164:$AF168,4,FALSE)</f>
        <v>1141.6652427363483</v>
      </c>
      <c r="F170" s="86">
        <v>2</v>
      </c>
      <c r="G170" s="86">
        <f>VLOOKUP(G109,$A164:$AF168,4,FALSE)</f>
        <v>1162.2042522934632</v>
      </c>
      <c r="H170" s="86">
        <f>VLOOKUP(H109,$A164:$AF168,7,FALSE)</f>
        <v>1176.7347507644879</v>
      </c>
      <c r="I170" s="86">
        <v>3</v>
      </c>
      <c r="J170" s="86">
        <f>VLOOKUP(J109,$A164:$AF168,7,FALSE)</f>
        <v>1134.1376207630258</v>
      </c>
      <c r="K170" s="86"/>
      <c r="L170" s="86">
        <f>VLOOKUP(L109,$A164:$AF168,10,FALSE)</f>
        <v>1167.7588008126882</v>
      </c>
      <c r="M170" s="86">
        <v>4</v>
      </c>
      <c r="N170" s="86">
        <f>VLOOKUP(N109,$A164:$AF168,10,FALSE)</f>
        <v>1169.7318742667858</v>
      </c>
      <c r="O170" s="86">
        <f>VLOOKUP(O109,$A164:$AF168,14,FALSE)</f>
        <v>1143.1135707148255</v>
      </c>
      <c r="P170" s="86">
        <v>5</v>
      </c>
      <c r="Q170" s="86">
        <f>VLOOKUP(Q109,$A164:$AF168,14,FALSE)</f>
        <v>1177.6864430599514</v>
      </c>
      <c r="R170" s="86">
        <f>VLOOKUP(R109,$A164:$AF168,17,FALSE)</f>
        <v>1159.8042320195225</v>
      </c>
      <c r="S170" s="86">
        <v>6</v>
      </c>
      <c r="T170" s="86">
        <f>VLOOKUP(T109,$A164:$AF168,17,FALSE)</f>
        <v>1135.9070233278555</v>
      </c>
      <c r="U170" s="86">
        <f>VLOOKUP(U109,$A164:$AF168,20,FALSE)</f>
        <v>1128.4564107962669</v>
      </c>
      <c r="V170" s="86">
        <v>7</v>
      </c>
      <c r="W170" s="86">
        <f>VLOOKUP(W109,$A164:$AF168,20,FALSE)</f>
        <v>1184.8929904469214</v>
      </c>
      <c r="X170" s="86">
        <f>VLOOKUP(X109,$A164:$AF168,23,FALSE)</f>
        <v>1167.2548445511111</v>
      </c>
      <c r="Y170" s="86">
        <v>8</v>
      </c>
      <c r="Z170" s="86" t="e">
        <f>VLOOKUP(Z109,$A164:$AF168,23,FALSE)</f>
        <v>#N/A</v>
      </c>
      <c r="AA170" s="86">
        <f>VLOOKUP(AA109,$A164:$AF168,26,FALSE)</f>
        <v>1184.8929904469214</v>
      </c>
      <c r="AB170" s="86">
        <v>9</v>
      </c>
      <c r="AC170" s="86" t="e">
        <f>VLOOKUP(AC109,$A164:$AF168,26,FALSE)</f>
        <v>#N/A</v>
      </c>
      <c r="AD170" s="86">
        <f>VLOOKUP(AD109,$A164:$AF168,29,FALSE)</f>
        <v>1167.2548445511111</v>
      </c>
      <c r="AE170" s="86">
        <v>10</v>
      </c>
      <c r="AF170" s="86">
        <f>VLOOKUP(AF109,$A164:$AF168,29,FALSE)</f>
        <v>1128.4564107962669</v>
      </c>
      <c r="AG170"/>
      <c r="AH170" s="79"/>
      <c r="AI170" s="79"/>
      <c r="AJ170" s="79"/>
      <c r="AK170" s="79"/>
      <c r="AL170" s="79"/>
      <c r="AM170" s="79"/>
      <c r="AN170" s="79"/>
      <c r="AO170" s="80"/>
      <c r="AP170" s="80"/>
      <c r="AQ170" s="80"/>
      <c r="AR170" s="80"/>
      <c r="AW170" s="85"/>
      <c r="BB170" s="85"/>
      <c r="BE170" s="85"/>
      <c r="BH170" s="85"/>
      <c r="BK170" s="85"/>
      <c r="BN170" s="85"/>
      <c r="BQ170" s="85"/>
      <c r="BT170" s="85"/>
      <c r="BW170" s="85"/>
      <c r="BZ170" s="85"/>
      <c r="CC170" s="85"/>
    </row>
    <row r="171" spans="1:81" s="91" customFormat="1" hidden="1" x14ac:dyDescent="0.25">
      <c r="A171" s="87" t="s">
        <v>89</v>
      </c>
      <c r="B171" s="87">
        <f>1/(1+(10^-((B170-D170)/400)))*(B121+D121)</f>
        <v>0.54592192278048368</v>
      </c>
      <c r="C171" s="87"/>
      <c r="D171" s="87">
        <f>1/(1+(10^-((D170-B170)/400)))*(B121+D121)</f>
        <v>0.45407807721951632</v>
      </c>
      <c r="E171" s="87">
        <f>1/(1+(10^-((E170-G170)/400)))*(E121+G121)</f>
        <v>0.47047637333265557</v>
      </c>
      <c r="F171" s="87"/>
      <c r="G171" s="87">
        <f>1/(1+(10^-((G170-E170)/400)))*(E121+G121)</f>
        <v>0.52952362666734443</v>
      </c>
      <c r="H171" s="87">
        <f>1/(1+(10^-((H170-J170)/400)))*(H121+J121)</f>
        <v>0.56099687198748627</v>
      </c>
      <c r="I171" s="87"/>
      <c r="J171" s="87">
        <f>1/(1+(10^-((J170-H170)/400)))*(H121+J121)</f>
        <v>0.43900312801251368</v>
      </c>
      <c r="K171" s="87"/>
      <c r="L171" s="87">
        <f>1/(1+(10^-((L170-N170)/400)))*(L121+N121)</f>
        <v>0.49716054957285999</v>
      </c>
      <c r="M171" s="87"/>
      <c r="N171" s="87">
        <f>1/(1+(10^-((N170-L170)/400)))*(L121+N121)</f>
        <v>0.50283945042713996</v>
      </c>
      <c r="O171" s="87">
        <f>1/(1+(10^-((O170-Q170)/400)))*(O121+Q121)</f>
        <v>0.45040921168562403</v>
      </c>
      <c r="P171" s="87"/>
      <c r="Q171" s="87">
        <f>1/(1+(10^-((Q170-O170)/400)))*(O121+Q121)</f>
        <v>0.54959078831437602</v>
      </c>
      <c r="R171" s="87">
        <f>1/(1+(10^-((R170-T170)/400)))*(R121+T121)</f>
        <v>0.5343367167757137</v>
      </c>
      <c r="S171" s="87"/>
      <c r="T171" s="87">
        <f>1/(1+(10^-((T170-R170)/400)))*(R121+T121)</f>
        <v>0.46566328322428624</v>
      </c>
      <c r="U171" s="87">
        <f>1/(1+(10^-((U170-W170)/400)))*(U121+W121)</f>
        <v>0</v>
      </c>
      <c r="V171" s="87"/>
      <c r="W171" s="87">
        <f>1/(1+(10^-((W170-U170)/400)))*(U121+W121)</f>
        <v>0</v>
      </c>
      <c r="X171" s="87" t="e">
        <f>1/(1+(10^-((X170-Z170)/400)))*(X121+Z121)</f>
        <v>#N/A</v>
      </c>
      <c r="Y171" s="87"/>
      <c r="Z171" s="87" t="e">
        <f>1/(1+(10^-((Z170-X170)/400)))*(X121+Z121)</f>
        <v>#N/A</v>
      </c>
      <c r="AA171" s="87" t="e">
        <f>1/(1+(10^-((AA170-AC170)/400)))*(AA121+AC121)</f>
        <v>#N/A</v>
      </c>
      <c r="AB171" s="87"/>
      <c r="AC171" s="87" t="e">
        <f>1/(1+(10^-((AC170-AA170)/400)))*(AA121+AC121)</f>
        <v>#N/A</v>
      </c>
      <c r="AD171" s="87">
        <f>1/(1+(10^-((AD170-AF170)/400)))*(AD121+AF121)</f>
        <v>0</v>
      </c>
      <c r="AE171" s="87"/>
      <c r="AF171" s="87">
        <f>1/(1+(10^-((AF170-AD170)/400)))*(AD121+AF121)</f>
        <v>0</v>
      </c>
      <c r="AG171" s="88"/>
      <c r="AH171" s="89"/>
      <c r="AI171" s="89"/>
      <c r="AJ171" s="89"/>
      <c r="AK171" s="89"/>
      <c r="AL171" s="89"/>
      <c r="AM171" s="89"/>
      <c r="AN171" s="89"/>
      <c r="AO171" s="90"/>
      <c r="AP171" s="90"/>
      <c r="AQ171" s="90"/>
      <c r="AR171" s="90"/>
      <c r="AW171" s="92"/>
      <c r="BB171" s="92"/>
      <c r="BE171" s="92"/>
      <c r="BH171" s="92"/>
      <c r="BK171" s="92"/>
      <c r="BN171" s="92"/>
      <c r="BQ171" s="92"/>
      <c r="BT171" s="92"/>
      <c r="BW171" s="92"/>
      <c r="BZ171" s="92"/>
      <c r="CC171" s="92"/>
    </row>
    <row r="172" spans="1:81" s="97" customFormat="1" hidden="1" x14ac:dyDescent="0.25">
      <c r="A172" s="93" t="s">
        <v>90</v>
      </c>
      <c r="B172" s="93">
        <f>B170+(B121-B171)*$BA$1</f>
        <v>1176.7347507644879</v>
      </c>
      <c r="C172" s="93"/>
      <c r="D172" s="93">
        <f>D170+(D121-D171)*$BA$1</f>
        <v>1162.2042522934632</v>
      </c>
      <c r="E172" s="93">
        <f>E170+(E121-E171)*$BA$1</f>
        <v>1134.1376207630258</v>
      </c>
      <c r="F172" s="93"/>
      <c r="G172" s="93">
        <f>G170+(G121-G171)*$BA$1</f>
        <v>1169.7318742667858</v>
      </c>
      <c r="H172" s="93">
        <f>H170+(H121-H171)*$BA$1</f>
        <v>1167.7588008126882</v>
      </c>
      <c r="I172" s="93"/>
      <c r="J172" s="93">
        <f>J170+(J121-J171)*$BA$1</f>
        <v>1143.1135707148255</v>
      </c>
      <c r="K172" s="93"/>
      <c r="L172" s="93">
        <f>L170+(L121-L171)*$BA$1</f>
        <v>1159.8042320195225</v>
      </c>
      <c r="M172" s="93"/>
      <c r="N172" s="93">
        <f>N170+(N121-N171)*$BA$1</f>
        <v>1177.6864430599514</v>
      </c>
      <c r="O172" s="93">
        <f>O170+(O121-O171)*$BA$1</f>
        <v>1135.9070233278555</v>
      </c>
      <c r="P172" s="93"/>
      <c r="Q172" s="93">
        <f>Q170+(Q121-Q171)*$BA$1</f>
        <v>1184.8929904469214</v>
      </c>
      <c r="R172" s="93">
        <f>R170+(R121-R171)*$BA$1</f>
        <v>1167.2548445511111</v>
      </c>
      <c r="S172" s="93"/>
      <c r="T172" s="93">
        <f>T170+(T121-T171)*$BA$1</f>
        <v>1128.4564107962669</v>
      </c>
      <c r="U172" s="93">
        <f>U170+(U121-U171)*$BA$1</f>
        <v>1128.4564107962669</v>
      </c>
      <c r="V172" s="93"/>
      <c r="W172" s="93">
        <f>W170+(W121-W171)*$BA$1</f>
        <v>1184.8929904469214</v>
      </c>
      <c r="X172" s="93" t="e">
        <f>X170+(X121-X171)*$BA$1</f>
        <v>#N/A</v>
      </c>
      <c r="Y172" s="93"/>
      <c r="Z172" s="93" t="e">
        <f>Z170+(Z121-Z171)*$BA$1</f>
        <v>#N/A</v>
      </c>
      <c r="AA172" s="93" t="e">
        <f>AA170+(AA121-AA171)*$BA$1</f>
        <v>#N/A</v>
      </c>
      <c r="AB172" s="93"/>
      <c r="AC172" s="93" t="e">
        <f>AC170+(AC121-AC171)*$BA$1</f>
        <v>#N/A</v>
      </c>
      <c r="AD172" s="93">
        <f>AD170+(AD121-AD171)*$BA$1</f>
        <v>1167.2548445511111</v>
      </c>
      <c r="AE172" s="93"/>
      <c r="AF172" s="93">
        <f>AF170+(AF121-AF171)*$BA$1</f>
        <v>1128.4564107962669</v>
      </c>
      <c r="AG172" s="94"/>
      <c r="AH172" s="95"/>
      <c r="AI172" s="95"/>
      <c r="AJ172" s="95"/>
      <c r="AK172" s="95"/>
      <c r="AL172" s="95"/>
      <c r="AM172" s="95"/>
      <c r="AN172" s="95"/>
      <c r="AO172" s="96"/>
      <c r="AP172" s="96"/>
      <c r="AQ172" s="96"/>
      <c r="AR172" s="96"/>
      <c r="AW172" s="98"/>
      <c r="BB172" s="98"/>
      <c r="BE172" s="98"/>
      <c r="BH172" s="98"/>
      <c r="BK172" s="98"/>
      <c r="BN172" s="98"/>
      <c r="BQ172" s="98"/>
      <c r="BT172" s="98"/>
      <c r="BW172" s="98"/>
      <c r="BZ172" s="98"/>
      <c r="CC172" s="98"/>
    </row>
    <row r="173" spans="1:81" s="97" customFormat="1" hidden="1" x14ac:dyDescent="0.25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  <c r="AF173" s="93"/>
      <c r="AG173" s="94"/>
      <c r="AH173" s="95"/>
      <c r="AI173" s="95"/>
      <c r="AJ173" s="95"/>
      <c r="AK173" s="95"/>
      <c r="AL173" s="95"/>
      <c r="AM173" s="95"/>
      <c r="AN173" s="95"/>
      <c r="AO173" s="96"/>
      <c r="AP173" s="96"/>
      <c r="AQ173" s="96"/>
      <c r="AR173" s="96"/>
      <c r="AW173" s="98"/>
      <c r="BB173" s="98"/>
      <c r="BE173" s="98"/>
      <c r="BH173" s="98"/>
      <c r="BK173" s="98"/>
      <c r="BN173" s="98"/>
      <c r="BQ173" s="98"/>
      <c r="BT173" s="98"/>
      <c r="BW173" s="98"/>
      <c r="BZ173" s="98"/>
      <c r="CC173" s="98"/>
    </row>
    <row r="174" spans="1:81" s="81" customFormat="1" x14ac:dyDescent="0.25">
      <c r="A174" s="308" t="str">
        <f>IF($AL95=1,"Pool Tiereaker : 1) Matches Won vs Lost (if 3 way tie then #4)  2) Head to Head  3) Game Win %  4) Total Pool Net Points  5) Flip a Coin","Pool Tiebreaker : 1) Games Won vs Lost (if 3 way tie then #5)  2) Head to Head  3) Head to Head Net Points  4) Game Win %  5) Total Pool Net Points  6) Flip a Coin")</f>
        <v>Pool Tiereaker : 1) Matches Won vs Lost (if 3 way tie then #4)  2) Head to Head  3) Game Win %  4) Total Pool Net Points  5) Flip a Coin</v>
      </c>
      <c r="B174" s="308"/>
      <c r="C174" s="308"/>
      <c r="D174" s="308"/>
      <c r="E174" s="308"/>
      <c r="F174" s="308"/>
      <c r="G174" s="308"/>
      <c r="H174" s="308"/>
      <c r="I174" s="308"/>
      <c r="J174" s="308"/>
      <c r="K174" s="308"/>
      <c r="L174" s="308"/>
      <c r="M174" s="308"/>
      <c r="N174" s="308"/>
      <c r="O174" s="308"/>
      <c r="P174" s="308"/>
      <c r="Q174" s="308"/>
      <c r="R174" s="308"/>
      <c r="S174" s="308"/>
      <c r="T174" s="308"/>
      <c r="U174" s="308"/>
      <c r="V174" s="308"/>
      <c r="W174" s="308"/>
      <c r="X174" s="308"/>
      <c r="Y174" s="308"/>
      <c r="Z174" s="308"/>
      <c r="AA174" s="308"/>
      <c r="AB174" s="308"/>
      <c r="AC174" s="308"/>
      <c r="AD174" s="308"/>
      <c r="AE174" s="308"/>
      <c r="AF174" s="308"/>
      <c r="AG174" s="308"/>
      <c r="AH174" s="308"/>
      <c r="AI174" s="308"/>
      <c r="AJ174" s="308"/>
      <c r="AK174" s="308"/>
      <c r="AL174" s="308"/>
      <c r="AM174" s="308"/>
      <c r="AN174" s="309"/>
      <c r="AO174" s="309"/>
      <c r="AP174" s="309"/>
      <c r="AQ174" s="309"/>
    </row>
    <row r="175" spans="1:81" s="81" customFormat="1" x14ac:dyDescent="0.25">
      <c r="A175" s="310"/>
      <c r="B175" s="310"/>
      <c r="C175" s="310"/>
      <c r="D175" s="310"/>
      <c r="E175" s="310"/>
      <c r="F175" s="310"/>
      <c r="G175" s="310"/>
      <c r="H175" s="310"/>
      <c r="I175" s="310"/>
      <c r="J175" s="310"/>
      <c r="K175" s="310"/>
      <c r="L175" s="310"/>
      <c r="M175" s="310"/>
      <c r="N175" s="310"/>
      <c r="O175" s="310"/>
      <c r="P175" s="310"/>
      <c r="Q175" s="310"/>
      <c r="R175" s="310"/>
      <c r="S175" s="310"/>
      <c r="T175" s="310"/>
      <c r="U175" s="310"/>
      <c r="V175" s="310"/>
      <c r="W175" s="310"/>
      <c r="X175" s="310"/>
      <c r="Y175" s="310"/>
      <c r="Z175" s="310"/>
      <c r="AA175" s="310"/>
      <c r="AB175" s="310"/>
      <c r="AC175" s="310"/>
      <c r="AD175" s="310"/>
      <c r="AE175" s="310"/>
      <c r="AF175" s="310"/>
      <c r="AG175" s="310"/>
      <c r="AH175" s="310"/>
      <c r="AI175" s="310"/>
      <c r="AJ175" s="310"/>
      <c r="AK175" s="310"/>
      <c r="AL175" s="310"/>
      <c r="AM175" s="310"/>
      <c r="AN175" s="310"/>
      <c r="AO175" s="310"/>
      <c r="AP175" s="310"/>
      <c r="AQ175" s="310"/>
      <c r="AR175" s="310"/>
    </row>
    <row r="176" spans="1:81" ht="21" thickBot="1" x14ac:dyDescent="0.4">
      <c r="A176" s="314" t="s">
        <v>94</v>
      </c>
      <c r="B176" s="314"/>
      <c r="C176" s="314"/>
      <c r="D176" s="314"/>
      <c r="E176" s="314"/>
      <c r="F176" s="314"/>
      <c r="G176" s="314"/>
      <c r="H176" s="314"/>
      <c r="I176" s="314"/>
      <c r="J176" s="314"/>
      <c r="K176" s="314"/>
      <c r="L176" s="314"/>
      <c r="M176" s="314"/>
      <c r="N176" s="314"/>
      <c r="O176" s="314"/>
      <c r="P176" s="314"/>
      <c r="Q176" s="314"/>
      <c r="R176" s="314"/>
      <c r="S176" s="314"/>
      <c r="T176" s="314"/>
      <c r="U176" s="314"/>
      <c r="V176" s="314"/>
      <c r="W176" s="314"/>
      <c r="X176" s="314"/>
      <c r="Y176" s="314"/>
      <c r="Z176" s="314"/>
      <c r="AA176" s="314"/>
      <c r="AB176" s="314"/>
      <c r="AC176" s="314"/>
      <c r="AD176" s="314"/>
      <c r="AE176" s="314"/>
      <c r="AF176" s="314"/>
      <c r="AG176" s="314"/>
      <c r="AH176" s="314"/>
      <c r="AI176" s="314"/>
      <c r="AJ176" s="314"/>
      <c r="AK176" s="314"/>
      <c r="AL176" s="314"/>
      <c r="AM176" s="314"/>
      <c r="AN176" s="314"/>
      <c r="AO176" s="314"/>
      <c r="AP176" s="314"/>
      <c r="AQ176" s="314"/>
    </row>
    <row r="177" spans="1:53" ht="13.8" thickBot="1" x14ac:dyDescent="0.3">
      <c r="A177" s="315" t="s">
        <v>95</v>
      </c>
      <c r="B177" s="317" t="s">
        <v>96</v>
      </c>
      <c r="C177" s="318"/>
      <c r="D177" s="318"/>
      <c r="E177" s="318"/>
      <c r="F177" s="318"/>
      <c r="G177" s="318"/>
      <c r="H177" s="318"/>
      <c r="I177" s="318"/>
      <c r="J177" s="318"/>
      <c r="K177" s="319"/>
      <c r="L177" s="317" t="s">
        <v>97</v>
      </c>
      <c r="M177" s="318"/>
      <c r="N177" s="318"/>
      <c r="O177" s="318"/>
      <c r="P177" s="318"/>
      <c r="Q177" s="318"/>
      <c r="R177" s="318"/>
      <c r="S177" s="318"/>
      <c r="T177" s="318"/>
      <c r="U177" s="319"/>
      <c r="V177" s="317" t="s">
        <v>98</v>
      </c>
      <c r="W177" s="318"/>
      <c r="X177" s="318"/>
      <c r="Y177" s="318"/>
      <c r="Z177" s="318"/>
      <c r="AA177" s="318"/>
      <c r="AB177" s="318"/>
      <c r="AC177" s="318"/>
      <c r="AD177" s="318"/>
      <c r="AE177" s="319"/>
      <c r="AF177" s="317" t="s">
        <v>99</v>
      </c>
      <c r="AG177" s="318"/>
      <c r="AH177" s="318"/>
      <c r="AI177" s="318"/>
      <c r="AJ177" s="318"/>
      <c r="AK177" s="318"/>
      <c r="AL177" s="318"/>
      <c r="AM177" s="318"/>
      <c r="AN177" s="318"/>
      <c r="AO177" s="319"/>
    </row>
    <row r="178" spans="1:53" ht="13.8" thickBot="1" x14ac:dyDescent="0.3">
      <c r="A178" s="316"/>
      <c r="B178" s="320" t="s">
        <v>8</v>
      </c>
      <c r="C178" s="321"/>
      <c r="D178" s="321"/>
      <c r="E178" s="321"/>
      <c r="F178" s="321"/>
      <c r="G178" s="322"/>
      <c r="H178" s="320" t="s">
        <v>100</v>
      </c>
      <c r="I178" s="321"/>
      <c r="J178" s="321"/>
      <c r="K178" s="322"/>
      <c r="L178" s="320" t="s">
        <v>8</v>
      </c>
      <c r="M178" s="321"/>
      <c r="N178" s="321"/>
      <c r="O178" s="321"/>
      <c r="P178" s="321"/>
      <c r="Q178" s="322"/>
      <c r="R178" s="320" t="s">
        <v>100</v>
      </c>
      <c r="S178" s="321"/>
      <c r="T178" s="321"/>
      <c r="U178" s="322"/>
      <c r="V178" s="320" t="s">
        <v>8</v>
      </c>
      <c r="W178" s="321"/>
      <c r="X178" s="321"/>
      <c r="Y178" s="321"/>
      <c r="Z178" s="321"/>
      <c r="AA178" s="322"/>
      <c r="AB178" s="320" t="s">
        <v>100</v>
      </c>
      <c r="AC178" s="321"/>
      <c r="AD178" s="321"/>
      <c r="AE178" s="322"/>
      <c r="AF178" s="320" t="s">
        <v>8</v>
      </c>
      <c r="AG178" s="321"/>
      <c r="AH178" s="321"/>
      <c r="AI178" s="321"/>
      <c r="AJ178" s="321"/>
      <c r="AK178" s="322"/>
      <c r="AL178" s="320" t="s">
        <v>100</v>
      </c>
      <c r="AM178" s="321"/>
      <c r="AN178" s="321"/>
      <c r="AO178" s="322"/>
    </row>
    <row r="179" spans="1:53" x14ac:dyDescent="0.25">
      <c r="A179" s="99" t="s">
        <v>101</v>
      </c>
      <c r="B179" s="323" t="str">
        <f>IF($AG$8=1,$E$8,IF($AG$10=1,$E$10,IF($AG$12=1,$E$12,IF($AG$14=1,$E$14,IF($AG$16=1,$E$16,"1st Place "&amp;$A179)))))</f>
        <v>SC Midlands KP Boys</v>
      </c>
      <c r="C179" s="324"/>
      <c r="D179" s="324"/>
      <c r="E179" s="324"/>
      <c r="F179" s="324"/>
      <c r="G179" s="324"/>
      <c r="H179" s="325" t="str">
        <f>IF($AG$8=1,$E$9,IF($AG$10=1,$E$11,IF($AG$12=1,$E$13,IF($AG$14=1,$E$15,IF($AG$16=1,$E$17,"1st Place "&amp;$A179)))))</f>
        <v>fj2scmid3pm</v>
      </c>
      <c r="I179" s="325"/>
      <c r="J179" s="325"/>
      <c r="K179" s="326"/>
      <c r="L179" s="323" t="str">
        <f>IF($AG$8=2,$E$8,IF($AG$10=2,$E$10,IF($AG$12=2,$E$12,IF($AG$14=2,$E$14,IF($AG$16=2,$E$16,"2nd Place "&amp;$A179)))))</f>
        <v>Intense kids power col</v>
      </c>
      <c r="M179" s="324"/>
      <c r="N179" s="324"/>
      <c r="O179" s="324"/>
      <c r="P179" s="324"/>
      <c r="Q179" s="324"/>
      <c r="R179" s="325" t="str">
        <f>IF($AG$8=2,$E$9,IF($AG$10=2,$E$11,IF($AG$12=2,$E$13,IF($AG$14=2,$E$15,IF($AG$16=2,$E$17,"2nd Place "&amp;$A179)))))</f>
        <v>fj2inten3pm</v>
      </c>
      <c r="S179" s="325"/>
      <c r="T179" s="325"/>
      <c r="U179" s="326"/>
      <c r="V179" s="323" t="str">
        <f>IF($AG$8=3,$E$8,IF($AG$10=3,$E$10,IF($AG$12=3,$E$12,IF($AG$14=3,$E$14,IF($AG$16=3,$E$16,"3rd Place "&amp;$A179)))))</f>
        <v>SC Midlands KP White</v>
      </c>
      <c r="W179" s="324"/>
      <c r="X179" s="324"/>
      <c r="Y179" s="324"/>
      <c r="Z179" s="324"/>
      <c r="AA179" s="324"/>
      <c r="AB179" s="325" t="str">
        <f>IF($AG$8=3,$E$9,IF($AG$10=3,$E$11,IF($AG$12=3,$E$13,IF($AG$14=3,$E$15,IF($AG$16=3,$E$17,"3rd Place "&amp;$A179)))))</f>
        <v>fj2scmid2pm</v>
      </c>
      <c r="AC179" s="325"/>
      <c r="AD179" s="325"/>
      <c r="AE179" s="326"/>
      <c r="AF179" s="323" t="str">
        <f>IF($AG$8=4,$E$8,IF($AG$10=4,$E$10,IF($AG$12=4,$E$12,IF($AG$14=4,$E$14,IF($AG$16=4,$E$16,"4th Place "&amp;$A179)))))</f>
        <v>C1VB Juniors Royal</v>
      </c>
      <c r="AG179" s="324"/>
      <c r="AH179" s="324"/>
      <c r="AI179" s="324"/>
      <c r="AJ179" s="324"/>
      <c r="AK179" s="324"/>
      <c r="AL179" s="325" t="str">
        <f>IF($AG$8=4,$E$9,IF($AG$10=4,$E$11,IF($AG$12=4,$E$13,IF($AG$14=4,$E$15,IF($AG$16=4,$E$17,"4th Place "&amp;$A179)))))</f>
        <v>fj2crone7pm</v>
      </c>
      <c r="AM179" s="325"/>
      <c r="AN179" s="325"/>
      <c r="AO179" s="326"/>
    </row>
    <row r="180" spans="1:53" ht="13.8" thickBot="1" x14ac:dyDescent="0.3">
      <c r="A180" s="100" t="s">
        <v>102</v>
      </c>
      <c r="B180" s="327" t="str">
        <f>IF($AG$93=1,$E$93,IF($AG$95=1,$E$95,IF($AG$97=1,$E$97,IF($AG$99=1,$E$99,IF($AG$101=1,$E$101,"1st Place "&amp;$A180)))))</f>
        <v>MOTO 12'1</v>
      </c>
      <c r="C180" s="328"/>
      <c r="D180" s="328"/>
      <c r="E180" s="328"/>
      <c r="F180" s="328"/>
      <c r="G180" s="328"/>
      <c r="H180" s="329" t="str">
        <f>IF($AG$93=1,$E$94,IF($AG$95=1,$E$96,IF($AG$97=1,$E$98,IF($AG$99=1,$E$100,IF($AG$101=1,$E$102,"1st Place "&amp;$A180)))))</f>
        <v>fj1motoj1pm</v>
      </c>
      <c r="I180" s="329"/>
      <c r="J180" s="329"/>
      <c r="K180" s="330"/>
      <c r="L180" s="327" t="str">
        <f>IF($AG$93=2,$E$93,IF($AG$95=2,$E$95,IF($AG$97=2,$E$97,IF($AG$99=2,$E$99,IF($AG$101=2,$E$101,"2nd Place "&amp;$A180)))))</f>
        <v>Foothills Vanessa</v>
      </c>
      <c r="M180" s="328"/>
      <c r="N180" s="328"/>
      <c r="O180" s="328"/>
      <c r="P180" s="328"/>
      <c r="Q180" s="328"/>
      <c r="R180" s="329" t="str">
        <f>IF($AG$93=2,$E$94,IF($AG$95=2,$E$96,IF($AG$97=2,$E$98,IF($AG$99=2,$E$100,IF($AG$101=2,$E$102,"2nd Place "&amp;$A180)))))</f>
        <v>fj2footh2pm</v>
      </c>
      <c r="S180" s="329"/>
      <c r="T180" s="329"/>
      <c r="U180" s="330"/>
      <c r="V180" s="327" t="str">
        <f>IF($AG$93=3,$E$93,IF($AG$95=3,$E$95,IF($AG$97=3,$E$97,IF($AG$99=3,$E$99,IF($AG$101=3,$E$101,"3rd Place "&amp;$A180)))))</f>
        <v>C1VB Juniors Grey</v>
      </c>
      <c r="W180" s="328"/>
      <c r="X180" s="328"/>
      <c r="Y180" s="328"/>
      <c r="Z180" s="328"/>
      <c r="AA180" s="328"/>
      <c r="AB180" s="329" t="str">
        <f>IF($AG$93=3,$E$94,IF($AG$95=3,$E$96,IF($AG$97=3,$E$98,IF($AG$99=3,$E$100,IF($AG$101=3,$E$102,"3rd Place "&amp;$A180)))))</f>
        <v>fj2crone8pm</v>
      </c>
      <c r="AC180" s="329"/>
      <c r="AD180" s="329"/>
      <c r="AE180" s="330"/>
      <c r="AF180" s="331"/>
      <c r="AG180" s="332"/>
      <c r="AH180" s="332"/>
      <c r="AI180" s="332"/>
      <c r="AJ180" s="332"/>
      <c r="AK180" s="332"/>
      <c r="AL180" s="337"/>
      <c r="AM180" s="337"/>
      <c r="AN180" s="337"/>
      <c r="AO180" s="338"/>
    </row>
    <row r="181" spans="1:53" s="3" customFormat="1" x14ac:dyDescent="0.25">
      <c r="A181" s="101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102"/>
      <c r="AH181" s="102"/>
      <c r="AI181" s="102"/>
      <c r="AJ181" s="102"/>
      <c r="AK181" s="102"/>
      <c r="AL181" s="102"/>
      <c r="AM181" s="102"/>
      <c r="AN181" s="102"/>
      <c r="AO181" s="102"/>
      <c r="AZ181"/>
      <c r="BA181"/>
    </row>
    <row r="182" spans="1:53" ht="15.6" x14ac:dyDescent="0.3">
      <c r="A182" s="339" t="s">
        <v>103</v>
      </c>
      <c r="B182" s="339"/>
      <c r="C182" s="339"/>
      <c r="D182" s="339"/>
      <c r="E182" s="339"/>
      <c r="F182" s="339"/>
      <c r="G182" s="339"/>
      <c r="H182" s="339"/>
      <c r="I182" s="339"/>
      <c r="J182" s="339"/>
      <c r="K182" s="339"/>
      <c r="L182" s="339"/>
      <c r="M182" s="339"/>
      <c r="N182" s="339"/>
      <c r="O182" s="339"/>
      <c r="P182" s="339"/>
      <c r="Q182" s="339"/>
      <c r="R182" s="339"/>
      <c r="S182" s="339"/>
      <c r="T182" s="339"/>
      <c r="U182" s="339"/>
      <c r="V182" s="339"/>
      <c r="W182" s="339"/>
      <c r="X182" s="339"/>
      <c r="Y182" s="339"/>
      <c r="Z182" s="339"/>
      <c r="AA182" s="339"/>
      <c r="AB182" s="339"/>
      <c r="AC182" s="339"/>
      <c r="AD182" s="339"/>
      <c r="AE182" s="339"/>
      <c r="AF182" s="339"/>
      <c r="AG182" s="339"/>
      <c r="AH182" s="339"/>
      <c r="AI182" s="339"/>
      <c r="AJ182" s="339"/>
      <c r="AK182" s="339"/>
      <c r="AL182" s="339"/>
      <c r="AM182" s="339"/>
      <c r="AN182" s="339"/>
      <c r="AO182" s="339"/>
      <c r="AP182" s="339"/>
      <c r="AQ182" s="339"/>
      <c r="AT182" s="103"/>
      <c r="AU182" s="103"/>
    </row>
    <row r="183" spans="1:53" ht="17.399999999999999" x14ac:dyDescent="0.3">
      <c r="A183" s="340" t="s">
        <v>104</v>
      </c>
      <c r="B183" s="340"/>
      <c r="C183" s="340"/>
      <c r="D183" s="340"/>
      <c r="E183" s="340"/>
      <c r="F183" s="340"/>
      <c r="G183" s="340"/>
      <c r="H183" s="340"/>
      <c r="I183" s="340"/>
      <c r="J183" s="340"/>
      <c r="K183" s="340"/>
      <c r="L183" s="340"/>
      <c r="M183" s="340"/>
      <c r="N183" s="340"/>
      <c r="O183" s="340"/>
      <c r="P183" s="340"/>
      <c r="Q183" s="340"/>
      <c r="R183" s="340"/>
      <c r="S183" s="340"/>
      <c r="T183" s="340"/>
      <c r="U183" s="340"/>
      <c r="V183" s="340"/>
      <c r="W183" s="340"/>
      <c r="X183" s="340"/>
      <c r="Y183" s="340"/>
      <c r="Z183" s="340"/>
      <c r="AA183" s="340"/>
      <c r="AB183" s="340"/>
      <c r="AC183" s="340"/>
      <c r="AD183" s="340"/>
      <c r="AE183" s="340"/>
      <c r="AF183" s="340"/>
      <c r="AG183" s="340"/>
      <c r="AH183" s="340"/>
      <c r="AI183" s="340"/>
      <c r="AJ183" s="340"/>
      <c r="AK183" s="340"/>
      <c r="AL183" s="340"/>
      <c r="AM183" s="340"/>
      <c r="AN183" s="340"/>
      <c r="AO183" s="340"/>
      <c r="AP183" s="340"/>
      <c r="AQ183" s="340"/>
      <c r="AR183" s="340"/>
    </row>
    <row r="184" spans="1:53" x14ac:dyDescent="0.25">
      <c r="A184" s="341"/>
      <c r="B184" s="341"/>
      <c r="C184" s="341"/>
      <c r="D184" s="341"/>
      <c r="E184" s="341"/>
      <c r="F184" s="341"/>
      <c r="G184" s="341"/>
      <c r="H184" s="341"/>
      <c r="I184" s="341"/>
      <c r="J184" s="341"/>
      <c r="K184" s="341"/>
      <c r="L184" s="341"/>
      <c r="M184" s="341"/>
      <c r="N184" s="341"/>
      <c r="O184" s="341"/>
      <c r="P184" s="341"/>
      <c r="Q184" s="341"/>
      <c r="R184" s="341"/>
      <c r="S184" s="341"/>
      <c r="T184" s="341"/>
      <c r="U184" s="341"/>
      <c r="V184" s="341"/>
      <c r="W184" s="341"/>
      <c r="X184" s="341"/>
      <c r="Y184" s="341"/>
      <c r="Z184" s="341"/>
      <c r="AA184" s="341"/>
      <c r="AB184" s="341"/>
      <c r="AC184" s="341"/>
      <c r="AD184" s="341"/>
      <c r="AE184" s="341"/>
      <c r="AF184" s="341"/>
      <c r="AG184" s="341"/>
      <c r="AH184" s="341"/>
      <c r="AI184" s="341"/>
      <c r="AJ184" s="341"/>
      <c r="AK184" s="341"/>
      <c r="AL184" s="341"/>
      <c r="AM184" s="341"/>
      <c r="AN184" s="341"/>
      <c r="AO184" s="341"/>
      <c r="AP184" s="341"/>
      <c r="AQ184" s="341"/>
      <c r="AR184" s="341"/>
    </row>
    <row r="185" spans="1:53" x14ac:dyDescent="0.25">
      <c r="A185" s="341"/>
      <c r="B185" s="341"/>
      <c r="C185" s="341"/>
      <c r="D185" s="341"/>
      <c r="E185" s="341"/>
      <c r="F185" s="341"/>
      <c r="G185" s="341"/>
      <c r="H185" s="341"/>
      <c r="I185" s="341"/>
      <c r="J185" s="341"/>
      <c r="K185" s="341"/>
      <c r="L185" s="341"/>
      <c r="M185" s="341"/>
      <c r="N185" s="341"/>
      <c r="O185" s="341"/>
      <c r="P185" s="341"/>
      <c r="Q185" s="341"/>
      <c r="R185" s="341"/>
      <c r="S185" s="341"/>
      <c r="T185" s="341"/>
      <c r="U185" s="341"/>
      <c r="V185" s="341"/>
      <c r="W185" s="341"/>
      <c r="X185" s="341"/>
      <c r="Y185" s="341"/>
      <c r="Z185" s="341"/>
      <c r="AA185" s="341"/>
      <c r="AB185" s="341"/>
      <c r="AC185" s="341"/>
      <c r="AD185" s="341"/>
      <c r="AE185" s="341"/>
      <c r="AF185" s="341"/>
      <c r="AG185" s="341"/>
      <c r="AH185" s="341"/>
      <c r="AI185" s="341"/>
      <c r="AJ185" s="341"/>
      <c r="AK185" s="341"/>
      <c r="AL185" s="341"/>
      <c r="AM185" s="341"/>
      <c r="AN185" s="341"/>
      <c r="AO185" s="341"/>
      <c r="AP185" s="341"/>
      <c r="AQ185" s="341"/>
      <c r="AR185" s="341"/>
    </row>
    <row r="186" spans="1:53" x14ac:dyDescent="0.25">
      <c r="A186" s="342" t="s">
        <v>105</v>
      </c>
      <c r="B186" s="342"/>
      <c r="C186" s="342"/>
      <c r="D186" s="342"/>
      <c r="E186" s="342"/>
      <c r="F186" s="342"/>
      <c r="G186" s="342"/>
      <c r="H186" s="342"/>
      <c r="I186" s="342"/>
      <c r="J186" s="342"/>
      <c r="K186" s="342"/>
      <c r="L186" s="342"/>
      <c r="M186" s="104"/>
    </row>
    <row r="187" spans="1:53" x14ac:dyDescent="0.25">
      <c r="C187" s="3"/>
      <c r="D187" s="3"/>
      <c r="E187" s="3"/>
      <c r="M187" s="104"/>
    </row>
    <row r="188" spans="1:53" x14ac:dyDescent="0.25">
      <c r="A188" s="309" t="s">
        <v>106</v>
      </c>
      <c r="B188" s="309"/>
      <c r="C188" s="309"/>
      <c r="D188" s="309"/>
      <c r="E188" s="309"/>
      <c r="F188" s="309"/>
      <c r="G188" s="309"/>
      <c r="H188" s="309"/>
      <c r="I188" s="309"/>
      <c r="J188" s="309"/>
      <c r="K188" s="309"/>
      <c r="L188" s="309"/>
      <c r="M188" s="309"/>
      <c r="N188" s="309"/>
      <c r="O188" s="309"/>
      <c r="P188" s="309"/>
      <c r="Q188" s="82"/>
      <c r="S188" s="309" t="s">
        <v>107</v>
      </c>
      <c r="T188" s="309"/>
      <c r="U188" s="309"/>
      <c r="V188" s="309"/>
      <c r="W188" s="309"/>
      <c r="X188" s="309"/>
      <c r="Y188" s="309"/>
      <c r="Z188" s="309"/>
      <c r="AA188" s="309"/>
      <c r="AB188" s="309"/>
      <c r="AC188" s="309"/>
      <c r="AD188" s="309"/>
      <c r="AE188" s="309"/>
      <c r="AF188" s="309"/>
      <c r="AG188" s="309"/>
    </row>
    <row r="190" spans="1:53" ht="13.8" thickBot="1" x14ac:dyDescent="0.3">
      <c r="A190" s="333" t="str">
        <f>IF(B218=1,B210,IF(B218=2,B211,IF(B218=3,B212,IF(B218=4,B213,IF(OR(B218="B",B218="b"),"BYE","invalid")))))</f>
        <v>SC Midlands KP Boys</v>
      </c>
      <c r="B190" s="333"/>
      <c r="C190" s="333"/>
      <c r="D190" s="333"/>
      <c r="E190" s="333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T190" s="106"/>
      <c r="U190" s="106"/>
      <c r="V190" s="333" t="str">
        <f>IF(X218=1,Y210,IF(X218=2,Y211,IF(X218=3,Y212,IF(X218=4,Y213,IF(OR(X218="B",X218="b"),"BYE","invalid")))))</f>
        <v>SC Midlands KP White</v>
      </c>
      <c r="W190" s="333"/>
      <c r="X190" s="333"/>
      <c r="Y190" s="333"/>
      <c r="Z190" s="333"/>
      <c r="AA190" s="333"/>
      <c r="AB190" s="333"/>
      <c r="AC190" s="105"/>
      <c r="AD190" s="105"/>
      <c r="AE190" s="105"/>
      <c r="AF190" s="105"/>
    </row>
    <row r="191" spans="1:53" x14ac:dyDescent="0.25">
      <c r="A191" s="334" t="s">
        <v>108</v>
      </c>
      <c r="B191" s="334"/>
      <c r="C191" s="334"/>
      <c r="D191" s="334"/>
      <c r="E191" s="334"/>
      <c r="F191" s="107"/>
      <c r="G191" s="105"/>
      <c r="H191" s="105"/>
      <c r="I191" s="105"/>
      <c r="J191" s="105"/>
      <c r="K191" s="105"/>
      <c r="L191" s="105"/>
      <c r="M191" s="105"/>
      <c r="N191" s="105"/>
      <c r="O191" s="105"/>
      <c r="T191" s="108"/>
      <c r="U191" s="108"/>
      <c r="V191" s="335"/>
      <c r="W191" s="335"/>
      <c r="X191" s="335"/>
      <c r="Y191" s="335"/>
      <c r="Z191" s="335"/>
      <c r="AA191" s="335"/>
      <c r="AB191" s="336"/>
      <c r="AC191" s="105"/>
      <c r="AD191" s="105"/>
      <c r="AE191" s="105"/>
      <c r="AF191" s="105"/>
    </row>
    <row r="192" spans="1:53" x14ac:dyDescent="0.25">
      <c r="A192" s="105"/>
      <c r="B192" s="105"/>
      <c r="C192" s="105"/>
      <c r="D192" s="105"/>
      <c r="E192" s="105"/>
      <c r="F192" s="107"/>
      <c r="G192" s="105"/>
      <c r="H192" s="105"/>
      <c r="I192" s="105"/>
      <c r="J192" s="105"/>
      <c r="K192" s="105"/>
      <c r="L192" s="105"/>
      <c r="M192" s="105"/>
      <c r="N192" s="105"/>
      <c r="O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9"/>
      <c r="AC192" s="105"/>
      <c r="AD192" s="105"/>
      <c r="AE192" s="105"/>
      <c r="AF192" s="105"/>
    </row>
    <row r="193" spans="1:53" ht="13.8" thickBot="1" x14ac:dyDescent="0.3">
      <c r="A193" s="349" t="str">
        <f>B212&amp;" ref"</f>
        <v>Intense kids power col ref</v>
      </c>
      <c r="B193" s="349"/>
      <c r="C193" s="349"/>
      <c r="D193" s="349"/>
      <c r="E193" s="350"/>
      <c r="F193" s="351" t="str">
        <f>IF(H218=1,B210,IF(H218=2,B211,IF(H218=3,B212,IF(H218=4,B213,"Winner Match 1"))))</f>
        <v>Winner Match 1</v>
      </c>
      <c r="G193" s="352"/>
      <c r="H193" s="352"/>
      <c r="I193" s="352"/>
      <c r="J193" s="352"/>
      <c r="K193" s="352"/>
      <c r="L193" s="352"/>
      <c r="M193" s="352"/>
      <c r="N193" s="352"/>
      <c r="O193" s="105"/>
      <c r="Q193" s="110"/>
      <c r="R193" s="110"/>
      <c r="S193" s="110"/>
      <c r="T193" s="110"/>
      <c r="U193" s="347"/>
      <c r="V193" s="347"/>
      <c r="W193" s="347"/>
      <c r="X193" s="347"/>
      <c r="Y193" s="347"/>
      <c r="Z193" s="347"/>
      <c r="AA193" s="347"/>
      <c r="AB193" s="109"/>
      <c r="AC193" s="351" t="str">
        <f>IF(AD218=1,Y210,IF(AD218=2,Y211,IF(AD218=3,Y212,IF(AD218=4,Y213,"Winner Match 1"))))</f>
        <v>SC Midlands KP White</v>
      </c>
      <c r="AD193" s="352"/>
      <c r="AE193" s="352"/>
      <c r="AF193" s="352"/>
      <c r="AG193" s="352"/>
      <c r="AH193" s="352"/>
      <c r="AI193" s="352"/>
    </row>
    <row r="194" spans="1:53" x14ac:dyDescent="0.25">
      <c r="A194" s="353" t="s">
        <v>109</v>
      </c>
      <c r="B194" s="353"/>
      <c r="C194" s="353"/>
      <c r="D194" s="353"/>
      <c r="E194" s="353"/>
      <c r="F194" s="354"/>
      <c r="G194" s="355"/>
      <c r="H194" s="355"/>
      <c r="I194" s="356"/>
      <c r="J194" s="357"/>
      <c r="K194" s="358"/>
      <c r="L194" s="358"/>
      <c r="M194" s="358"/>
      <c r="N194" s="358"/>
      <c r="O194" s="105"/>
      <c r="P194" s="105"/>
      <c r="Q194" s="111"/>
      <c r="R194" s="5"/>
      <c r="S194" s="112"/>
      <c r="T194" s="112"/>
      <c r="U194" s="359"/>
      <c r="V194" s="359"/>
      <c r="W194" s="359"/>
      <c r="X194" s="359"/>
      <c r="Y194" s="359"/>
      <c r="Z194" s="359"/>
      <c r="AA194" s="359"/>
      <c r="AB194" s="109"/>
      <c r="AC194" s="354"/>
      <c r="AD194" s="355"/>
      <c r="AE194" s="355"/>
      <c r="AF194" s="356"/>
      <c r="AG194" s="357"/>
      <c r="AH194" s="358"/>
      <c r="AI194" s="358"/>
    </row>
    <row r="195" spans="1:53" ht="13.8" thickBot="1" x14ac:dyDescent="0.3">
      <c r="A195" s="333" t="str">
        <f>IF(D218=1,B210,IF(D218=2,B211,IF(D218=3,B212,IF(D218=4,B213,IF(OR(D218="B",D218="b"),"BYE","invalid")))))</f>
        <v>Foothills Vanessa</v>
      </c>
      <c r="B195" s="333"/>
      <c r="C195" s="333"/>
      <c r="D195" s="333"/>
      <c r="E195" s="343"/>
      <c r="F195" s="107"/>
      <c r="G195" s="105"/>
      <c r="H195" s="105"/>
      <c r="I195" s="105"/>
      <c r="J195" s="107"/>
      <c r="K195" s="105"/>
      <c r="L195" s="105"/>
      <c r="M195" s="105"/>
      <c r="N195" s="105"/>
      <c r="O195" s="105"/>
      <c r="P195" s="105"/>
      <c r="Q195" s="105"/>
      <c r="U195" s="105"/>
      <c r="V195" s="344" t="str">
        <f>IF(Z218=1,Y210,IF(Z218=2,Y211,IF(Z218=3,Y212,IF(Z218=4,Y213,IF(OR(Z218="B",Z218="b"),"BYE","invalid")))))</f>
        <v>BYE</v>
      </c>
      <c r="W195" s="344"/>
      <c r="X195" s="344"/>
      <c r="Y195" s="344"/>
      <c r="Z195" s="344"/>
      <c r="AA195" s="344"/>
      <c r="AB195" s="345"/>
      <c r="AC195" s="105"/>
      <c r="AD195" s="105"/>
      <c r="AE195" s="105"/>
      <c r="AF195" s="109"/>
      <c r="AG195" s="105"/>
      <c r="AH195" s="105"/>
    </row>
    <row r="196" spans="1:53" x14ac:dyDescent="0.25">
      <c r="A196" s="334" t="s">
        <v>110</v>
      </c>
      <c r="B196" s="334"/>
      <c r="C196" s="334"/>
      <c r="D196" s="334"/>
      <c r="E196" s="334"/>
      <c r="F196" s="105"/>
      <c r="G196" s="105"/>
      <c r="H196" s="105"/>
      <c r="I196" s="105"/>
      <c r="J196" s="107"/>
      <c r="K196" s="105"/>
      <c r="L196" s="105"/>
      <c r="M196" s="105"/>
      <c r="N196" s="105"/>
      <c r="O196" s="105"/>
      <c r="P196" s="105"/>
      <c r="Q196" s="105"/>
      <c r="V196" s="346"/>
      <c r="W196" s="346"/>
      <c r="X196" s="346"/>
      <c r="Y196" s="346"/>
      <c r="Z196" s="346"/>
      <c r="AA196" s="346"/>
      <c r="AB196" s="346"/>
      <c r="AC196" s="105"/>
      <c r="AD196" s="105"/>
      <c r="AE196" s="105"/>
      <c r="AF196" s="109"/>
      <c r="AG196" s="105"/>
      <c r="AH196" s="105"/>
      <c r="AR196" s="113"/>
      <c r="AS196" s="113"/>
      <c r="AV196" s="113"/>
      <c r="AW196" s="113"/>
      <c r="AX196" s="113"/>
    </row>
    <row r="197" spans="1:53" x14ac:dyDescent="0.25">
      <c r="A197" s="105"/>
      <c r="B197" s="105"/>
      <c r="C197" s="105"/>
      <c r="D197" s="105"/>
      <c r="E197" s="105"/>
      <c r="F197" s="347" t="s">
        <v>111</v>
      </c>
      <c r="G197" s="347"/>
      <c r="H197" s="347"/>
      <c r="I197" s="348"/>
      <c r="J197" s="107"/>
      <c r="K197" s="105"/>
      <c r="L197" s="105"/>
      <c r="M197" s="105"/>
      <c r="N197" s="105"/>
      <c r="O197" s="105"/>
      <c r="P197" s="105"/>
      <c r="Q197" s="105"/>
      <c r="S197" s="105"/>
      <c r="T197" s="105"/>
      <c r="U197" s="105"/>
      <c r="V197" s="105"/>
      <c r="W197" s="105"/>
      <c r="X197" s="110"/>
      <c r="Y197" s="110"/>
      <c r="Z197" s="110"/>
      <c r="AB197" s="110"/>
      <c r="AC197" s="347" t="s">
        <v>111</v>
      </c>
      <c r="AD197" s="347"/>
      <c r="AE197" s="347"/>
      <c r="AF197" s="348"/>
      <c r="AG197" s="105"/>
      <c r="AH197" s="105"/>
    </row>
    <row r="198" spans="1:53" ht="13.8" thickBot="1" x14ac:dyDescent="0.3">
      <c r="A198" s="105"/>
      <c r="B198" s="105"/>
      <c r="C198" s="105"/>
      <c r="D198" s="105"/>
      <c r="E198" s="105"/>
      <c r="F198" s="105"/>
      <c r="G198" s="105"/>
      <c r="H198" s="105"/>
      <c r="I198" s="105"/>
      <c r="J198" s="364" t="str">
        <f>IF(K223=1,B210,IF(K223=2,B211,IF(K223=3,B212,IF(K223=4,B213,"Division Winner"))))</f>
        <v>Division Winner</v>
      </c>
      <c r="K198" s="365"/>
      <c r="L198" s="365"/>
      <c r="M198" s="365"/>
      <c r="N198" s="365"/>
      <c r="O198" s="365"/>
      <c r="P198" s="365"/>
      <c r="Q198" s="365"/>
      <c r="R198" s="106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14"/>
      <c r="AC198" s="114"/>
      <c r="AD198" s="114"/>
      <c r="AE198" s="114"/>
      <c r="AF198" s="115"/>
      <c r="AG198" s="365" t="str">
        <f>IF(AG223=1,Y210,IF(AG223=2,Y211,IF(AG223=3,Y212,IF(AG223=4,Y213,"Division Winner"))))</f>
        <v>Division Winner</v>
      </c>
      <c r="AH198" s="365"/>
      <c r="AI198" s="365"/>
      <c r="AJ198" s="365"/>
      <c r="AK198" s="365"/>
      <c r="AL198" s="114"/>
    </row>
    <row r="199" spans="1:53" ht="13.8" thickBot="1" x14ac:dyDescent="0.3">
      <c r="A199" s="333" t="str">
        <f>IF(E218=1,B210,IF(E218=2,B211,IF(E218=3,B212,IF(E218=4,B213,IF(OR(E218="B",E218="b"),"BYE","invalid")))))</f>
        <v>MOTO 12'1</v>
      </c>
      <c r="B199" s="333"/>
      <c r="C199" s="333"/>
      <c r="D199" s="333"/>
      <c r="E199" s="333"/>
      <c r="F199" s="353" t="s">
        <v>112</v>
      </c>
      <c r="G199" s="353"/>
      <c r="H199" s="353"/>
      <c r="I199" s="353"/>
      <c r="J199" s="360" t="s">
        <v>113</v>
      </c>
      <c r="K199" s="347"/>
      <c r="L199" s="347"/>
      <c r="M199" s="347"/>
      <c r="N199" s="347"/>
      <c r="O199" s="347"/>
      <c r="P199" s="347"/>
      <c r="Q199" s="347"/>
      <c r="S199" s="114"/>
      <c r="T199" s="114"/>
      <c r="U199" s="114"/>
      <c r="V199" s="333" t="str">
        <f>IF(AA218=1,Y210,IF(AA218=2,Y211,IF(AA218=3,Y212,IF(AA218=4,Y213,IF(OR(AA218="B",AA218="b"),"BYE","invalid")))))</f>
        <v>C1VB Juniors Grey</v>
      </c>
      <c r="W199" s="333"/>
      <c r="X199" s="333"/>
      <c r="Y199" s="333"/>
      <c r="Z199" s="333"/>
      <c r="AA199" s="333"/>
      <c r="AB199" s="333"/>
      <c r="AC199" s="353" t="s">
        <v>114</v>
      </c>
      <c r="AD199" s="353"/>
      <c r="AE199" s="353"/>
      <c r="AF199" s="366"/>
      <c r="AG199" s="367" t="s">
        <v>115</v>
      </c>
      <c r="AH199" s="368"/>
      <c r="AI199" s="368"/>
      <c r="AJ199" s="368"/>
      <c r="AK199" s="368"/>
    </row>
    <row r="200" spans="1:53" x14ac:dyDescent="0.25">
      <c r="A200" s="334" t="s">
        <v>116</v>
      </c>
      <c r="B200" s="334"/>
      <c r="C200" s="334"/>
      <c r="D200" s="334"/>
      <c r="E200" s="334"/>
      <c r="F200" s="107"/>
      <c r="G200" s="105"/>
      <c r="H200" s="105"/>
      <c r="I200" s="105"/>
      <c r="J200" s="360"/>
      <c r="K200" s="347"/>
      <c r="L200" s="347"/>
      <c r="M200" s="347"/>
      <c r="N200" s="347"/>
      <c r="O200" s="347"/>
      <c r="P200" s="347"/>
      <c r="Q200" s="347"/>
      <c r="R200" s="105"/>
      <c r="S200" s="113"/>
      <c r="T200" s="113"/>
      <c r="U200" s="113"/>
      <c r="V200" s="349" t="s">
        <v>117</v>
      </c>
      <c r="W200" s="349"/>
      <c r="X200" s="349"/>
      <c r="Y200" s="349"/>
      <c r="Z200" s="349"/>
      <c r="AA200" s="349"/>
      <c r="AB200" s="350"/>
      <c r="AC200" s="105"/>
      <c r="AD200" s="105"/>
      <c r="AE200" s="105"/>
      <c r="AF200" s="109"/>
      <c r="AG200" s="105"/>
      <c r="AH200" s="105"/>
    </row>
    <row r="201" spans="1:53" x14ac:dyDescent="0.25">
      <c r="A201" s="105"/>
      <c r="B201" s="105"/>
      <c r="C201" s="105"/>
      <c r="D201" s="105"/>
      <c r="E201" s="105"/>
      <c r="F201" s="107"/>
      <c r="G201" s="105"/>
      <c r="H201" s="105"/>
      <c r="I201" s="105"/>
      <c r="J201" s="107"/>
      <c r="K201" s="105"/>
      <c r="L201" s="105"/>
      <c r="M201" s="105"/>
      <c r="N201" s="105"/>
      <c r="O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9"/>
      <c r="AC201" s="107"/>
      <c r="AD201" s="105"/>
      <c r="AE201" s="105"/>
      <c r="AF201" s="109"/>
      <c r="AG201" s="105"/>
      <c r="AH201" s="105"/>
      <c r="AZ201" s="74"/>
      <c r="BA201" s="74"/>
    </row>
    <row r="202" spans="1:53" ht="13.8" thickBot="1" x14ac:dyDescent="0.3">
      <c r="A202" s="347" t="s">
        <v>118</v>
      </c>
      <c r="B202" s="347"/>
      <c r="C202" s="347"/>
      <c r="D202" s="347"/>
      <c r="E202" s="111"/>
      <c r="F202" s="361"/>
      <c r="G202" s="362"/>
      <c r="H202" s="362"/>
      <c r="I202" s="363"/>
      <c r="J202" s="357"/>
      <c r="K202" s="358"/>
      <c r="L202" s="358"/>
      <c r="M202" s="358"/>
      <c r="N202" s="358"/>
      <c r="O202" s="105"/>
      <c r="R202" s="110"/>
      <c r="S202" s="110"/>
      <c r="T202" s="110"/>
      <c r="U202" s="349" t="str">
        <f>Y210&amp;" ref"</f>
        <v>SC Midlands KP White ref</v>
      </c>
      <c r="V202" s="349"/>
      <c r="W202" s="349"/>
      <c r="X202" s="349"/>
      <c r="Y202" s="349"/>
      <c r="Z202" s="349"/>
      <c r="AA202" s="349"/>
      <c r="AB202" s="350"/>
      <c r="AC202" s="361"/>
      <c r="AD202" s="362"/>
      <c r="AE202" s="362"/>
      <c r="AF202" s="363"/>
      <c r="AG202" s="357"/>
      <c r="AH202" s="358"/>
      <c r="AI202" s="358"/>
      <c r="AZ202" s="74"/>
      <c r="BA202" s="74"/>
    </row>
    <row r="203" spans="1:53" x14ac:dyDescent="0.25">
      <c r="A203" s="353" t="s">
        <v>109</v>
      </c>
      <c r="B203" s="353"/>
      <c r="C203" s="353"/>
      <c r="D203" s="353"/>
      <c r="E203" s="366"/>
      <c r="F203" s="351" t="str">
        <f>IF(J218=1,B210,IF(J218=2,B211,IF(J218=3,B212,IF(J218=4,B213,"Winner Match 2"))))</f>
        <v>Winner Match 2</v>
      </c>
      <c r="G203" s="352"/>
      <c r="H203" s="352"/>
      <c r="I203" s="352"/>
      <c r="J203" s="352"/>
      <c r="K203" s="352"/>
      <c r="L203" s="352"/>
      <c r="M203" s="352"/>
      <c r="N203" s="352"/>
      <c r="O203" s="105"/>
      <c r="Q203" s="111"/>
      <c r="R203" s="111"/>
      <c r="T203" s="112"/>
      <c r="U203" s="353" t="s">
        <v>119</v>
      </c>
      <c r="V203" s="353"/>
      <c r="W203" s="353"/>
      <c r="X203" s="353"/>
      <c r="Y203" s="353"/>
      <c r="Z203" s="353"/>
      <c r="AA203" s="353"/>
      <c r="AB203" s="109"/>
      <c r="AC203" s="351" t="str">
        <f>IF(AF218=1,Y210,IF(AF218=2,Y211,IF(AF218=3,Y212,IF(AF218=4,Y213,"Winner Match 2"))))</f>
        <v>Winner Match 2</v>
      </c>
      <c r="AD203" s="352"/>
      <c r="AE203" s="352"/>
      <c r="AF203" s="352"/>
      <c r="AG203" s="352"/>
      <c r="AH203" s="352"/>
      <c r="AI203" s="352"/>
      <c r="AZ203" s="74"/>
      <c r="BA203" s="74"/>
    </row>
    <row r="204" spans="1:53" ht="13.8" thickBot="1" x14ac:dyDescent="0.3">
      <c r="A204" s="333" t="str">
        <f>IF(G218=1,B210,IF(G218=2,B211,IF(G218=3,B212,IF(G218=4,B213,IF(OR(G218="B",G218="b"),"BYE","invalid")))))</f>
        <v>Intense kids power col</v>
      </c>
      <c r="B204" s="333"/>
      <c r="C204" s="333"/>
      <c r="D204" s="333"/>
      <c r="E204" s="343"/>
      <c r="F204" s="107"/>
      <c r="G204" s="105"/>
      <c r="H204" s="105"/>
      <c r="I204" s="105"/>
      <c r="J204" s="105"/>
      <c r="K204" s="105"/>
      <c r="L204" s="105"/>
      <c r="M204" s="105"/>
      <c r="N204" s="105"/>
      <c r="O204" s="105"/>
      <c r="Q204" s="105"/>
      <c r="R204" s="105"/>
      <c r="S204" s="105"/>
      <c r="T204" s="114"/>
      <c r="U204" s="114"/>
      <c r="V204" s="333" t="str">
        <f>IF(AC218=1,Y210,IF(AC218=2,Y211,IF(AC218=3,Y212,IF(AC218=4,Y213,IF(OR(AC218="B",AC218="b"),"BYE","invalid")))))</f>
        <v>C1VB Juniors Royal</v>
      </c>
      <c r="W204" s="333"/>
      <c r="X204" s="333"/>
      <c r="Y204" s="333"/>
      <c r="Z204" s="333"/>
      <c r="AA204" s="333"/>
      <c r="AB204" s="343"/>
      <c r="AC204" s="105"/>
      <c r="AD204" s="105"/>
      <c r="AE204" s="105"/>
      <c r="AF204" s="105"/>
      <c r="AZ204" s="74"/>
      <c r="BA204" s="74"/>
    </row>
    <row r="205" spans="1:53" x14ac:dyDescent="0.25">
      <c r="A205" s="334" t="s">
        <v>120</v>
      </c>
      <c r="B205" s="334"/>
      <c r="C205" s="334"/>
      <c r="D205" s="334"/>
      <c r="E205" s="334"/>
      <c r="T205" s="113"/>
      <c r="U205" s="113"/>
      <c r="V205" s="349" t="s">
        <v>121</v>
      </c>
      <c r="W205" s="349"/>
      <c r="X205" s="349"/>
      <c r="Y205" s="349"/>
      <c r="Z205" s="349"/>
      <c r="AA205" s="349"/>
      <c r="AB205" s="349"/>
      <c r="AZ205" s="74"/>
      <c r="BA205" s="74"/>
    </row>
    <row r="206" spans="1:53" x14ac:dyDescent="0.25">
      <c r="AT206" s="74"/>
      <c r="AU206" s="74"/>
      <c r="AZ206" s="74"/>
      <c r="BA206" s="74"/>
    </row>
    <row r="207" spans="1:53" x14ac:dyDescent="0.25">
      <c r="AT207" s="74"/>
      <c r="AU207" s="74"/>
      <c r="AZ207" s="74"/>
      <c r="BA207" s="74"/>
    </row>
    <row r="208" spans="1:53" ht="16.2" thickBot="1" x14ac:dyDescent="0.35">
      <c r="A208" s="369" t="s">
        <v>122</v>
      </c>
      <c r="B208" s="369"/>
      <c r="C208" s="369"/>
      <c r="D208" s="369"/>
      <c r="E208" s="369"/>
      <c r="F208" s="369"/>
      <c r="G208" s="369"/>
      <c r="H208" s="369"/>
      <c r="I208" s="369"/>
      <c r="J208" s="369"/>
      <c r="K208" s="116"/>
      <c r="R208" s="117"/>
      <c r="S208" s="117"/>
      <c r="T208" s="117"/>
      <c r="V208" s="369" t="s">
        <v>123</v>
      </c>
      <c r="W208" s="369"/>
      <c r="X208" s="369"/>
      <c r="Y208" s="369"/>
      <c r="Z208" s="369"/>
      <c r="AA208" s="369"/>
      <c r="AB208" s="369"/>
      <c r="AC208" s="369"/>
      <c r="AD208" s="369"/>
      <c r="AE208" s="369"/>
      <c r="AF208" s="369"/>
      <c r="AG208" s="369"/>
      <c r="AT208" s="74"/>
      <c r="AU208" s="74"/>
      <c r="AZ208" s="74"/>
      <c r="BA208" s="74"/>
    </row>
    <row r="209" spans="1:53" ht="13.8" thickBot="1" x14ac:dyDescent="0.3">
      <c r="A209" s="118" t="s">
        <v>124</v>
      </c>
      <c r="B209" s="370" t="s">
        <v>125</v>
      </c>
      <c r="C209" s="371"/>
      <c r="D209" s="371"/>
      <c r="E209" s="371"/>
      <c r="F209" s="371"/>
      <c r="G209" s="371"/>
      <c r="H209" s="371"/>
      <c r="I209" s="371"/>
      <c r="J209" s="372"/>
      <c r="K209" s="373" t="s">
        <v>126</v>
      </c>
      <c r="L209" s="374"/>
      <c r="M209" s="374"/>
      <c r="N209" s="374"/>
      <c r="O209" s="374"/>
      <c r="P209" s="374"/>
      <c r="Q209" s="375"/>
      <c r="R209" s="105"/>
      <c r="V209" s="376" t="s">
        <v>124</v>
      </c>
      <c r="W209" s="377"/>
      <c r="X209" s="378"/>
      <c r="Y209" s="370" t="s">
        <v>125</v>
      </c>
      <c r="Z209" s="371"/>
      <c r="AA209" s="371"/>
      <c r="AB209" s="371"/>
      <c r="AC209" s="371"/>
      <c r="AD209" s="371"/>
      <c r="AE209" s="371"/>
      <c r="AF209" s="371"/>
      <c r="AG209" s="372"/>
      <c r="AH209" s="373" t="s">
        <v>126</v>
      </c>
      <c r="AI209" s="374"/>
      <c r="AJ209" s="374"/>
      <c r="AK209" s="374"/>
      <c r="AL209" s="374"/>
      <c r="AM209" s="374"/>
      <c r="AN209" s="375"/>
      <c r="AT209" s="74"/>
      <c r="AU209" s="74"/>
      <c r="AZ209" s="74"/>
      <c r="BA209" s="74"/>
    </row>
    <row r="210" spans="1:53" ht="13.8" thickBot="1" x14ac:dyDescent="0.3">
      <c r="A210" s="118">
        <v>1</v>
      </c>
      <c r="B210" s="379" t="str">
        <f>B179</f>
        <v>SC Midlands KP Boys</v>
      </c>
      <c r="C210" s="380"/>
      <c r="D210" s="380"/>
      <c r="E210" s="380"/>
      <c r="F210" s="380"/>
      <c r="G210" s="380"/>
      <c r="H210" s="380"/>
      <c r="I210" s="380"/>
      <c r="J210" s="381"/>
      <c r="K210" s="382" t="str">
        <f>H179</f>
        <v>fj2scmid3pm</v>
      </c>
      <c r="L210" s="383"/>
      <c r="M210" s="383"/>
      <c r="N210" s="383"/>
      <c r="O210" s="383"/>
      <c r="P210" s="383"/>
      <c r="Q210" s="384"/>
      <c r="R210" s="105"/>
      <c r="V210" s="376">
        <v>1</v>
      </c>
      <c r="W210" s="377"/>
      <c r="X210" s="378"/>
      <c r="Y210" s="379" t="str">
        <f>V179</f>
        <v>SC Midlands KP White</v>
      </c>
      <c r="Z210" s="380"/>
      <c r="AA210" s="380"/>
      <c r="AB210" s="380"/>
      <c r="AC210" s="380"/>
      <c r="AD210" s="380"/>
      <c r="AE210" s="380"/>
      <c r="AF210" s="380"/>
      <c r="AG210" s="381"/>
      <c r="AH210" s="382" t="str">
        <f>AB179</f>
        <v>fj2scmid2pm</v>
      </c>
      <c r="AI210" s="383"/>
      <c r="AJ210" s="383"/>
      <c r="AK210" s="383"/>
      <c r="AL210" s="383"/>
      <c r="AM210" s="383"/>
      <c r="AN210" s="384"/>
      <c r="AT210" s="74"/>
      <c r="AU210" s="74"/>
      <c r="AZ210" s="74"/>
      <c r="BA210" s="74"/>
    </row>
    <row r="211" spans="1:53" ht="13.8" thickBot="1" x14ac:dyDescent="0.3">
      <c r="A211" s="118">
        <v>2</v>
      </c>
      <c r="B211" s="379" t="str">
        <f>B180</f>
        <v>MOTO 12'1</v>
      </c>
      <c r="C211" s="380"/>
      <c r="D211" s="380"/>
      <c r="E211" s="380"/>
      <c r="F211" s="380"/>
      <c r="G211" s="380"/>
      <c r="H211" s="380"/>
      <c r="I211" s="380"/>
      <c r="J211" s="381"/>
      <c r="K211" s="382" t="str">
        <f>H180</f>
        <v>fj1motoj1pm</v>
      </c>
      <c r="L211" s="383"/>
      <c r="M211" s="383"/>
      <c r="N211" s="383"/>
      <c r="O211" s="383"/>
      <c r="P211" s="383"/>
      <c r="Q211" s="384"/>
      <c r="R211" s="105"/>
      <c r="V211" s="376">
        <v>2</v>
      </c>
      <c r="W211" s="377"/>
      <c r="X211" s="378"/>
      <c r="Y211" s="379" t="str">
        <f>V180</f>
        <v>C1VB Juniors Grey</v>
      </c>
      <c r="Z211" s="380"/>
      <c r="AA211" s="380"/>
      <c r="AB211" s="380"/>
      <c r="AC211" s="380"/>
      <c r="AD211" s="380"/>
      <c r="AE211" s="380"/>
      <c r="AF211" s="380"/>
      <c r="AG211" s="381"/>
      <c r="AH211" s="382" t="str">
        <f>AB180</f>
        <v>fj2crone8pm</v>
      </c>
      <c r="AI211" s="383"/>
      <c r="AJ211" s="383"/>
      <c r="AK211" s="383"/>
      <c r="AL211" s="383"/>
      <c r="AM211" s="383"/>
      <c r="AN211" s="384"/>
      <c r="AT211" s="74"/>
      <c r="AU211" s="74"/>
      <c r="AZ211" s="74"/>
      <c r="BA211" s="74"/>
    </row>
    <row r="212" spans="1:53" ht="13.8" thickBot="1" x14ac:dyDescent="0.3">
      <c r="A212" s="118">
        <v>3</v>
      </c>
      <c r="B212" s="379" t="str">
        <f>L179</f>
        <v>Intense kids power col</v>
      </c>
      <c r="C212" s="380"/>
      <c r="D212" s="380"/>
      <c r="E212" s="380"/>
      <c r="F212" s="380"/>
      <c r="G212" s="380"/>
      <c r="H212" s="380"/>
      <c r="I212" s="380"/>
      <c r="J212" s="381"/>
      <c r="K212" s="382" t="str">
        <f>R179</f>
        <v>fj2inten3pm</v>
      </c>
      <c r="L212" s="383"/>
      <c r="M212" s="383"/>
      <c r="N212" s="383"/>
      <c r="O212" s="383"/>
      <c r="P212" s="383"/>
      <c r="Q212" s="384"/>
      <c r="R212" s="105"/>
      <c r="V212" s="376">
        <v>3</v>
      </c>
      <c r="W212" s="377"/>
      <c r="X212" s="378"/>
      <c r="Y212" s="379" t="str">
        <f>AF179</f>
        <v>C1VB Juniors Royal</v>
      </c>
      <c r="Z212" s="380"/>
      <c r="AA212" s="380"/>
      <c r="AB212" s="380"/>
      <c r="AC212" s="380"/>
      <c r="AD212" s="380"/>
      <c r="AE212" s="380"/>
      <c r="AF212" s="380"/>
      <c r="AG212" s="381"/>
      <c r="AH212" s="382" t="str">
        <f>AL179</f>
        <v>fj2crone7pm</v>
      </c>
      <c r="AI212" s="383"/>
      <c r="AJ212" s="383"/>
      <c r="AK212" s="383"/>
      <c r="AL212" s="383"/>
      <c r="AM212" s="383"/>
      <c r="AN212" s="384"/>
      <c r="AT212" s="74"/>
      <c r="AU212" s="74"/>
      <c r="AZ212" s="74"/>
      <c r="BA212" s="74"/>
    </row>
    <row r="213" spans="1:53" ht="13.8" thickBot="1" x14ac:dyDescent="0.3">
      <c r="A213" s="118">
        <v>4</v>
      </c>
      <c r="B213" s="379" t="str">
        <f>L180</f>
        <v>Foothills Vanessa</v>
      </c>
      <c r="C213" s="380"/>
      <c r="D213" s="380"/>
      <c r="E213" s="380"/>
      <c r="F213" s="380"/>
      <c r="G213" s="380"/>
      <c r="H213" s="380"/>
      <c r="I213" s="380"/>
      <c r="J213" s="381"/>
      <c r="K213" s="382" t="str">
        <f>R180</f>
        <v>fj2footh2pm</v>
      </c>
      <c r="L213" s="383"/>
      <c r="M213" s="383"/>
      <c r="N213" s="383"/>
      <c r="O213" s="383"/>
      <c r="P213" s="383"/>
      <c r="Q213" s="384"/>
      <c r="R213" s="105"/>
      <c r="V213" s="376">
        <v>4</v>
      </c>
      <c r="W213" s="377"/>
      <c r="X213" s="378"/>
      <c r="Y213" s="379" t="s">
        <v>127</v>
      </c>
      <c r="Z213" s="380"/>
      <c r="AA213" s="380"/>
      <c r="AB213" s="380"/>
      <c r="AC213" s="380"/>
      <c r="AD213" s="380"/>
      <c r="AE213" s="380"/>
      <c r="AF213" s="380"/>
      <c r="AG213" s="381"/>
      <c r="AH213" s="382"/>
      <c r="AI213" s="383"/>
      <c r="AJ213" s="383"/>
      <c r="AK213" s="383"/>
      <c r="AL213" s="383"/>
      <c r="AM213" s="383"/>
      <c r="AN213" s="384"/>
      <c r="AT213" s="74"/>
      <c r="AU213" s="74"/>
      <c r="AZ213" s="74"/>
      <c r="BA213" s="74"/>
    </row>
    <row r="214" spans="1:53" ht="13.8" thickBot="1" x14ac:dyDescent="0.3">
      <c r="AT214" s="74"/>
      <c r="AU214" s="74"/>
      <c r="AZ214" s="74"/>
      <c r="BA214" s="74"/>
    </row>
    <row r="215" spans="1:53" x14ac:dyDescent="0.25">
      <c r="B215" s="385" t="s">
        <v>128</v>
      </c>
      <c r="C215" s="386"/>
      <c r="D215" s="387"/>
      <c r="E215" s="388" t="s">
        <v>128</v>
      </c>
      <c r="F215" s="386"/>
      <c r="G215" s="387"/>
      <c r="H215" s="388" t="s">
        <v>12</v>
      </c>
      <c r="I215" s="386"/>
      <c r="J215" s="389"/>
      <c r="K215" s="119"/>
      <c r="L215" s="390"/>
      <c r="M215" s="390"/>
      <c r="N215" s="390"/>
      <c r="S215" s="120"/>
      <c r="T215" s="120"/>
      <c r="U215" s="120"/>
      <c r="V215" s="120"/>
      <c r="X215" s="385" t="s">
        <v>128</v>
      </c>
      <c r="Y215" s="386"/>
      <c r="Z215" s="387"/>
      <c r="AA215" s="388" t="s">
        <v>128</v>
      </c>
      <c r="AB215" s="386"/>
      <c r="AC215" s="387"/>
      <c r="AD215" s="388" t="s">
        <v>12</v>
      </c>
      <c r="AE215" s="386"/>
      <c r="AF215" s="389"/>
      <c r="AG215" s="390"/>
      <c r="AH215" s="390"/>
      <c r="AI215" s="120"/>
      <c r="AJ215" s="120"/>
      <c r="AK215" s="120"/>
      <c r="AZ215" s="74"/>
      <c r="BA215" s="74"/>
    </row>
    <row r="216" spans="1:53" x14ac:dyDescent="0.25">
      <c r="A216" s="60" t="s">
        <v>129</v>
      </c>
      <c r="B216" s="391">
        <v>3</v>
      </c>
      <c r="C216" s="392"/>
      <c r="D216" s="393"/>
      <c r="E216" s="394" t="s">
        <v>130</v>
      </c>
      <c r="F216" s="392"/>
      <c r="G216" s="393"/>
      <c r="H216" s="394" t="s">
        <v>131</v>
      </c>
      <c r="I216" s="392"/>
      <c r="J216" s="395"/>
      <c r="K216" s="121"/>
      <c r="S216" s="120"/>
      <c r="T216" s="120"/>
      <c r="U216" s="396" t="s">
        <v>129</v>
      </c>
      <c r="V216" s="396"/>
      <c r="W216" s="397"/>
      <c r="X216" s="391"/>
      <c r="Y216" s="392"/>
      <c r="Z216" s="393"/>
      <c r="AA216" s="394">
        <v>1</v>
      </c>
      <c r="AB216" s="392"/>
      <c r="AC216" s="393"/>
      <c r="AD216" s="394" t="s">
        <v>131</v>
      </c>
      <c r="AE216" s="392"/>
      <c r="AF216" s="395"/>
      <c r="AI216" s="120"/>
      <c r="AJ216" s="120"/>
      <c r="AK216" s="120"/>
      <c r="AZ216" s="74"/>
      <c r="BA216" s="74"/>
    </row>
    <row r="217" spans="1:53" ht="13.8" thickBot="1" x14ac:dyDescent="0.3">
      <c r="A217" s="11"/>
      <c r="B217" s="404" t="s">
        <v>43</v>
      </c>
      <c r="C217" s="302"/>
      <c r="D217" s="303"/>
      <c r="E217" s="301" t="s">
        <v>132</v>
      </c>
      <c r="F217" s="302"/>
      <c r="G217" s="303"/>
      <c r="H217" s="301" t="s">
        <v>133</v>
      </c>
      <c r="I217" s="302"/>
      <c r="J217" s="398"/>
      <c r="K217" s="122"/>
      <c r="S217" s="120"/>
      <c r="T217" s="120"/>
      <c r="U217" s="402"/>
      <c r="V217" s="402"/>
      <c r="W217" s="403"/>
      <c r="X217" s="404" t="s">
        <v>43</v>
      </c>
      <c r="Y217" s="302"/>
      <c r="Z217" s="303"/>
      <c r="AA217" s="301" t="s">
        <v>132</v>
      </c>
      <c r="AB217" s="302"/>
      <c r="AC217" s="303"/>
      <c r="AD217" s="301" t="s">
        <v>133</v>
      </c>
      <c r="AE217" s="302"/>
      <c r="AF217" s="398"/>
      <c r="AI217" s="120"/>
      <c r="AJ217" s="120"/>
      <c r="AK217" s="120"/>
      <c r="AZ217" s="74"/>
      <c r="BA217" s="74"/>
    </row>
    <row r="218" spans="1:53" ht="13.8" thickBot="1" x14ac:dyDescent="0.3">
      <c r="A218" s="11"/>
      <c r="B218" s="123">
        <v>1</v>
      </c>
      <c r="C218" s="124" t="s">
        <v>50</v>
      </c>
      <c r="D218" s="125">
        <v>4</v>
      </c>
      <c r="E218" s="126">
        <v>2</v>
      </c>
      <c r="F218" s="124" t="s">
        <v>50</v>
      </c>
      <c r="G218" s="125">
        <v>3</v>
      </c>
      <c r="H218" s="127" t="str">
        <f>IF(OR(AND(OR(B222&gt;0,D222&gt;0),B222&gt;D222),OR(D218="b",D218="B")),B218,IF(OR(AND(OR(B222&gt;0,D222&gt;0),D222&gt;B222),OR(B218="b",B218="B")),D218,"W1"))</f>
        <v>W1</v>
      </c>
      <c r="I218" s="128" t="s">
        <v>50</v>
      </c>
      <c r="J218" s="129" t="str">
        <f>IF(OR(AND(OR(E222&gt;0,G222&gt;0),E222&gt;G222),OR(G218="b",G218="B")),E218,IF(OR(AND(OR(E222&gt;0,G222&gt;0),G222&gt;E222),OR(E218="b",E218="B")),G218,"W2"))</f>
        <v>W2</v>
      </c>
      <c r="K218" s="399" t="s">
        <v>134</v>
      </c>
      <c r="L218" s="400"/>
      <c r="M218" s="400"/>
      <c r="N218" s="401"/>
      <c r="S218" s="120"/>
      <c r="T218" s="120"/>
      <c r="U218" s="402"/>
      <c r="V218" s="402"/>
      <c r="W218" s="403"/>
      <c r="X218" s="123">
        <v>1</v>
      </c>
      <c r="Y218" s="124" t="s">
        <v>50</v>
      </c>
      <c r="Z218" s="125" t="s">
        <v>91</v>
      </c>
      <c r="AA218" s="126">
        <v>2</v>
      </c>
      <c r="AB218" s="124" t="s">
        <v>50</v>
      </c>
      <c r="AC218" s="125">
        <v>3</v>
      </c>
      <c r="AD218" s="127">
        <f>IF(OR(AND(OR(X222&gt;0,Z222&gt;0),X222&gt;Z222),OR(Z218="b",Z218="B")),X218,IF(OR(AND(OR(X222&gt;0,Z222&gt;0),Z222&gt;X222),OR(X218="b",X218="B")),Z218,"W1"))</f>
        <v>1</v>
      </c>
      <c r="AE218" s="128" t="s">
        <v>50</v>
      </c>
      <c r="AF218" s="129" t="str">
        <f>IF(OR(AND(OR(AA222&gt;0,AC222&gt;0),AA222&gt;AC222),OR(AC222="b",AC222="B")),AA218,IF(OR(AND(OR(AA222&gt;0,AC222&gt;0),AC222&gt;AA222),OR(AA222="b",AA222="B")),AC218,"W2"))</f>
        <v>W2</v>
      </c>
      <c r="AG218" s="399" t="s">
        <v>134</v>
      </c>
      <c r="AH218" s="401"/>
      <c r="AI218" s="120"/>
      <c r="AJ218" s="120"/>
      <c r="AK218" s="120"/>
      <c r="AZ218" s="74"/>
      <c r="BA218" s="74"/>
    </row>
    <row r="219" spans="1:53" ht="13.5" hidden="1" customHeight="1" x14ac:dyDescent="0.25">
      <c r="A219" s="11"/>
      <c r="B219" s="130">
        <f>IF(B223&gt;D223,1,0)</f>
        <v>0</v>
      </c>
      <c r="C219" s="131"/>
      <c r="D219" s="132">
        <f>IF(D223&gt;B223,1,0)</f>
        <v>0</v>
      </c>
      <c r="E219" s="130">
        <f>IF(E223&gt;G223,1,0)</f>
        <v>0</v>
      </c>
      <c r="F219" s="131"/>
      <c r="G219" s="132">
        <f>IF(G223&gt;E223,1,0)</f>
        <v>0</v>
      </c>
      <c r="H219" s="130">
        <f>IF(H223&gt;J223,1,0)</f>
        <v>0</v>
      </c>
      <c r="I219" s="131"/>
      <c r="J219" s="132">
        <f>IF(J223&gt;H223,1,0)</f>
        <v>0</v>
      </c>
      <c r="K219" s="133"/>
      <c r="L219" s="134"/>
      <c r="M219" s="134"/>
      <c r="N219" s="135"/>
      <c r="S219" s="120"/>
      <c r="T219" s="120"/>
      <c r="U219" s="402"/>
      <c r="V219" s="402"/>
      <c r="W219" s="403"/>
      <c r="X219" s="130">
        <f>IF(X223&gt;Z223,1,0)</f>
        <v>0</v>
      </c>
      <c r="Y219" s="131"/>
      <c r="Z219" s="132">
        <f>IF(Z223&gt;X223,1,0)</f>
        <v>0</v>
      </c>
      <c r="AA219" s="130">
        <f>IF(AA223&gt;AC223,1,0)</f>
        <v>0</v>
      </c>
      <c r="AB219" s="131"/>
      <c r="AC219" s="132">
        <f>IF(AC223&gt;AA223,1,0)</f>
        <v>0</v>
      </c>
      <c r="AD219" s="130">
        <f>IF(AD223&gt;AF223,1,0)</f>
        <v>0</v>
      </c>
      <c r="AE219" s="131"/>
      <c r="AF219" s="132">
        <f>IF(AF223&gt;AD223,1,0)</f>
        <v>0</v>
      </c>
      <c r="AG219" s="136"/>
      <c r="AH219" s="137"/>
      <c r="AI219" s="120"/>
      <c r="AJ219" s="120"/>
      <c r="AK219" s="120"/>
      <c r="AZ219" s="74"/>
      <c r="BA219" s="74"/>
    </row>
    <row r="220" spans="1:53" ht="13.5" hidden="1" customHeight="1" x14ac:dyDescent="0.25">
      <c r="A220" s="11"/>
      <c r="B220" s="130">
        <f>IF(B224&gt;D224,1,0)</f>
        <v>0</v>
      </c>
      <c r="C220" s="131"/>
      <c r="D220" s="132">
        <f>IF(D224&gt;B224,1,0)</f>
        <v>0</v>
      </c>
      <c r="E220" s="130">
        <f>IF(E224&gt;G224,1,0)</f>
        <v>0</v>
      </c>
      <c r="F220" s="131"/>
      <c r="G220" s="132">
        <f>IF(G224&gt;E224,1,0)</f>
        <v>0</v>
      </c>
      <c r="H220" s="130">
        <f>IF(H224&gt;J224,1,0)</f>
        <v>0</v>
      </c>
      <c r="I220" s="131"/>
      <c r="J220" s="132">
        <f>IF(J224&gt;H224,1,0)</f>
        <v>0</v>
      </c>
      <c r="K220" s="133"/>
      <c r="L220" s="134"/>
      <c r="M220" s="134"/>
      <c r="N220" s="135"/>
      <c r="S220" s="120"/>
      <c r="T220" s="120"/>
      <c r="U220" s="402"/>
      <c r="V220" s="402"/>
      <c r="W220" s="403"/>
      <c r="X220" s="130">
        <f>IF(X224&gt;Z224,1,0)</f>
        <v>0</v>
      </c>
      <c r="Y220" s="131"/>
      <c r="Z220" s="132">
        <f>IF(Z224&gt;X224,1,0)</f>
        <v>0</v>
      </c>
      <c r="AA220" s="130">
        <f>IF(AA224&gt;AC224,1,0)</f>
        <v>0</v>
      </c>
      <c r="AB220" s="131"/>
      <c r="AC220" s="132">
        <f>IF(AC224&gt;AA224,1,0)</f>
        <v>0</v>
      </c>
      <c r="AD220" s="130">
        <f>IF(AD224&gt;AF224,1,0)</f>
        <v>0</v>
      </c>
      <c r="AE220" s="131"/>
      <c r="AF220" s="132">
        <f>IF(AF224&gt;AD224,1,0)</f>
        <v>0</v>
      </c>
      <c r="AG220" s="136"/>
      <c r="AH220" s="137"/>
      <c r="AI220" s="120"/>
      <c r="AJ220" s="120"/>
      <c r="AK220" s="120"/>
      <c r="AZ220" s="74"/>
      <c r="BA220" s="74"/>
    </row>
    <row r="221" spans="1:53" ht="13.5" hidden="1" customHeight="1" x14ac:dyDescent="0.25">
      <c r="A221" s="11"/>
      <c r="B221" s="130">
        <f>IF(B225&gt;D225,1,0)</f>
        <v>0</v>
      </c>
      <c r="C221" s="131"/>
      <c r="D221" s="132">
        <f>IF(D225&gt;B225,1,0)</f>
        <v>0</v>
      </c>
      <c r="E221" s="130">
        <f>IF(E225&gt;G225,1,0)</f>
        <v>0</v>
      </c>
      <c r="F221" s="131"/>
      <c r="G221" s="132">
        <f>IF(G225&gt;E225,1,0)</f>
        <v>0</v>
      </c>
      <c r="H221" s="130">
        <f>IF(H225&gt;J225,1,0)</f>
        <v>0</v>
      </c>
      <c r="I221" s="131"/>
      <c r="J221" s="132">
        <f>IF(J225&gt;H225,1,0)</f>
        <v>0</v>
      </c>
      <c r="K221" s="133"/>
      <c r="L221" s="134"/>
      <c r="M221" s="134"/>
      <c r="N221" s="135"/>
      <c r="S221" s="120"/>
      <c r="T221" s="120"/>
      <c r="U221" s="402"/>
      <c r="V221" s="402"/>
      <c r="W221" s="403"/>
      <c r="X221" s="130">
        <f>IF(X225&gt;Z225,1,0)</f>
        <v>0</v>
      </c>
      <c r="Y221" s="131"/>
      <c r="Z221" s="132">
        <f>IF(Z225&gt;X225,1,0)</f>
        <v>0</v>
      </c>
      <c r="AA221" s="130">
        <f>IF(AA225&gt;AC225,1,0)</f>
        <v>0</v>
      </c>
      <c r="AB221" s="131"/>
      <c r="AC221" s="132">
        <f>IF(AC225&gt;AA225,1,0)</f>
        <v>0</v>
      </c>
      <c r="AD221" s="130">
        <f>IF(AD225&gt;AF225,1,0)</f>
        <v>0</v>
      </c>
      <c r="AE221" s="131"/>
      <c r="AF221" s="132">
        <f>IF(AF225&gt;AD225,1,0)</f>
        <v>0</v>
      </c>
      <c r="AG221" s="136"/>
      <c r="AH221" s="137"/>
      <c r="AI221" s="120"/>
      <c r="AJ221" s="120"/>
      <c r="AK221" s="120"/>
      <c r="AZ221" s="74"/>
      <c r="BA221" s="74"/>
    </row>
    <row r="222" spans="1:53" ht="13.5" hidden="1" customHeight="1" x14ac:dyDescent="0.25">
      <c r="A222" s="11"/>
      <c r="B222" s="130">
        <f>SUM(B219:B221)</f>
        <v>0</v>
      </c>
      <c r="C222" s="131"/>
      <c r="D222" s="130">
        <f>SUM(D219:D221)</f>
        <v>0</v>
      </c>
      <c r="E222" s="130">
        <f>SUM(E219:E221)</f>
        <v>0</v>
      </c>
      <c r="F222" s="131"/>
      <c r="G222" s="130">
        <f>SUM(G219:G221)</f>
        <v>0</v>
      </c>
      <c r="H222" s="130">
        <f>SUM(H219:H221)</f>
        <v>0</v>
      </c>
      <c r="I222" s="131"/>
      <c r="J222" s="130">
        <f>SUM(J219:J221)</f>
        <v>0</v>
      </c>
      <c r="K222" s="133"/>
      <c r="L222" s="134"/>
      <c r="M222" s="134"/>
      <c r="N222" s="135"/>
      <c r="S222" s="120"/>
      <c r="T222" s="120"/>
      <c r="U222" s="402"/>
      <c r="V222" s="402"/>
      <c r="W222" s="403"/>
      <c r="X222" s="130">
        <f>SUM(X219:X221)</f>
        <v>0</v>
      </c>
      <c r="Y222" s="131"/>
      <c r="Z222" s="130">
        <f>SUM(Z219:Z221)</f>
        <v>0</v>
      </c>
      <c r="AA222" s="130">
        <f>SUM(AA219:AA221)</f>
        <v>0</v>
      </c>
      <c r="AB222" s="131"/>
      <c r="AC222" s="130">
        <f>SUM(AC219:AC221)</f>
        <v>0</v>
      </c>
      <c r="AD222" s="130">
        <f>SUM(AD219:AD221)</f>
        <v>0</v>
      </c>
      <c r="AE222" s="131"/>
      <c r="AF222" s="130">
        <f>SUM(AF219:AF221)</f>
        <v>0</v>
      </c>
      <c r="AG222" s="136"/>
      <c r="AH222" s="137"/>
      <c r="AI222" s="120"/>
      <c r="AJ222" s="120"/>
      <c r="AK222" s="120"/>
      <c r="AZ222" s="74"/>
      <c r="BA222" s="74"/>
    </row>
    <row r="223" spans="1:53" ht="12.75" customHeight="1" x14ac:dyDescent="0.25">
      <c r="A223" s="4" t="s">
        <v>51</v>
      </c>
      <c r="B223" s="138"/>
      <c r="C223" s="70" t="s">
        <v>52</v>
      </c>
      <c r="D223" s="139"/>
      <c r="E223" s="140"/>
      <c r="F223" s="70" t="s">
        <v>52</v>
      </c>
      <c r="G223" s="139"/>
      <c r="H223" s="140"/>
      <c r="I223" s="70" t="s">
        <v>52</v>
      </c>
      <c r="J223" s="141"/>
      <c r="K223" s="407" t="str">
        <f>IF(AND(OR(H222&gt;0,J222&gt;0),AND(1&lt;=H218,H218&lt;=4),AND(1&lt;=J218,J218&lt;=4)),IF(H222&gt;J222,H218,IF(J222&gt;H222,J218,"")),"")</f>
        <v/>
      </c>
      <c r="L223" s="408"/>
      <c r="M223" s="408"/>
      <c r="N223" s="409"/>
      <c r="S223" s="120"/>
      <c r="T223" s="120"/>
      <c r="U223" s="142"/>
      <c r="V223" s="142"/>
      <c r="W223" s="4" t="s">
        <v>51</v>
      </c>
      <c r="X223" s="138"/>
      <c r="Y223" s="70" t="s">
        <v>52</v>
      </c>
      <c r="Z223" s="139"/>
      <c r="AA223" s="140"/>
      <c r="AB223" s="70" t="s">
        <v>52</v>
      </c>
      <c r="AC223" s="139"/>
      <c r="AD223" s="140"/>
      <c r="AE223" s="70" t="s">
        <v>52</v>
      </c>
      <c r="AF223" s="141"/>
      <c r="AG223" s="407" t="str">
        <f>IF(AND(OR(AD222&gt;0,AF222&gt;0),AND(1&lt;=AD218,AD218&lt;=4),AND(1&lt;=AF218,AF218&lt;=4)),IF(AD222&gt;AF222,AD218,IF(AF222&gt;AD222,AF218,"")),"")</f>
        <v/>
      </c>
      <c r="AH223" s="409"/>
      <c r="AI223" s="120"/>
      <c r="AJ223" s="120"/>
      <c r="AK223" s="120"/>
      <c r="AZ223" s="74"/>
      <c r="BA223" s="74"/>
    </row>
    <row r="224" spans="1:53" ht="12.75" customHeight="1" x14ac:dyDescent="0.25">
      <c r="A224" s="4" t="s">
        <v>135</v>
      </c>
      <c r="B224" s="138"/>
      <c r="C224" s="70" t="s">
        <v>52</v>
      </c>
      <c r="D224" s="139"/>
      <c r="E224" s="140"/>
      <c r="F224" s="70" t="s">
        <v>52</v>
      </c>
      <c r="G224" s="139"/>
      <c r="H224" s="140"/>
      <c r="I224" s="70" t="s">
        <v>52</v>
      </c>
      <c r="J224" s="141"/>
      <c r="K224" s="410"/>
      <c r="L224" s="411"/>
      <c r="M224" s="411"/>
      <c r="N224" s="412"/>
      <c r="S224" s="120"/>
      <c r="T224" s="120"/>
      <c r="U224" s="142"/>
      <c r="V224" s="142"/>
      <c r="W224" s="4" t="s">
        <v>135</v>
      </c>
      <c r="X224" s="138"/>
      <c r="Y224" s="70" t="s">
        <v>52</v>
      </c>
      <c r="Z224" s="139"/>
      <c r="AA224" s="140"/>
      <c r="AB224" s="70" t="s">
        <v>52</v>
      </c>
      <c r="AC224" s="139"/>
      <c r="AD224" s="140"/>
      <c r="AE224" s="70" t="s">
        <v>52</v>
      </c>
      <c r="AF224" s="141"/>
      <c r="AG224" s="410"/>
      <c r="AH224" s="412"/>
      <c r="AI224" s="120"/>
      <c r="AJ224" s="120"/>
      <c r="AK224" s="120"/>
      <c r="AZ224" s="74"/>
      <c r="BA224" s="74"/>
    </row>
    <row r="225" spans="1:80" ht="13.5" customHeight="1" thickBot="1" x14ac:dyDescent="0.3">
      <c r="A225" s="4" t="s">
        <v>136</v>
      </c>
      <c r="B225" s="143"/>
      <c r="C225" s="144" t="s">
        <v>52</v>
      </c>
      <c r="D225" s="145"/>
      <c r="E225" s="146"/>
      <c r="F225" s="144" t="s">
        <v>52</v>
      </c>
      <c r="G225" s="145"/>
      <c r="H225" s="146"/>
      <c r="I225" s="144" t="s">
        <v>52</v>
      </c>
      <c r="J225" s="147"/>
      <c r="K225" s="413"/>
      <c r="L225" s="414"/>
      <c r="M225" s="414"/>
      <c r="N225" s="415"/>
      <c r="S225" s="120"/>
      <c r="T225" s="120"/>
      <c r="U225" s="142"/>
      <c r="V225" s="142"/>
      <c r="W225" s="4" t="s">
        <v>136</v>
      </c>
      <c r="X225" s="143"/>
      <c r="Y225" s="144" t="s">
        <v>52</v>
      </c>
      <c r="Z225" s="145"/>
      <c r="AA225" s="146"/>
      <c r="AB225" s="144" t="s">
        <v>52</v>
      </c>
      <c r="AC225" s="145"/>
      <c r="AD225" s="146"/>
      <c r="AE225" s="144" t="s">
        <v>52</v>
      </c>
      <c r="AF225" s="147"/>
      <c r="AG225" s="413"/>
      <c r="AH225" s="415"/>
      <c r="AI225" s="120"/>
      <c r="AJ225" s="120"/>
      <c r="AK225" s="120"/>
      <c r="AZ225" s="74"/>
      <c r="BA225" s="74"/>
    </row>
    <row r="226" spans="1:80" hidden="1" x14ac:dyDescent="0.25">
      <c r="B226" s="3"/>
      <c r="C226" s="148" t="s">
        <v>86</v>
      </c>
      <c r="D226" s="3" t="s">
        <v>137</v>
      </c>
      <c r="E226" s="3"/>
      <c r="F226" s="148"/>
      <c r="G226" t="s">
        <v>138</v>
      </c>
      <c r="J226" t="s">
        <v>139</v>
      </c>
      <c r="X226" s="3"/>
      <c r="Y226" s="148" t="s">
        <v>86</v>
      </c>
      <c r="Z226" s="3" t="s">
        <v>137</v>
      </c>
      <c r="AA226" s="3"/>
      <c r="AB226" s="148"/>
      <c r="AC226" t="s">
        <v>138</v>
      </c>
      <c r="AF226" t="s">
        <v>139</v>
      </c>
      <c r="AT226" t="str">
        <f>B227</f>
        <v>SC Midlands KP Boys</v>
      </c>
      <c r="AU226">
        <f>J227</f>
        <v>1279.1688939443791</v>
      </c>
      <c r="AW226" s="149"/>
      <c r="AX226" s="74"/>
      <c r="AY226" s="74"/>
      <c r="AZ226" s="74"/>
      <c r="BA226" s="74"/>
      <c r="BB226" s="149"/>
      <c r="BC226" s="74"/>
      <c r="BD226" s="74"/>
      <c r="BE226" s="149"/>
      <c r="BF226" s="74"/>
      <c r="BG226" s="74"/>
      <c r="BH226" s="149"/>
      <c r="BI226" s="74"/>
      <c r="BJ226" s="74"/>
      <c r="BK226" s="149"/>
      <c r="BL226" s="74"/>
      <c r="BM226" s="74"/>
      <c r="BN226" s="149"/>
      <c r="BO226" s="74"/>
      <c r="BP226" s="74"/>
      <c r="BQ226" s="149"/>
      <c r="BR226" s="74"/>
      <c r="BS226" s="74"/>
      <c r="BT226" s="149"/>
      <c r="BU226" s="74"/>
      <c r="BV226" s="74"/>
      <c r="BW226" s="149"/>
      <c r="BX226" s="74"/>
      <c r="BY226" s="74"/>
      <c r="BZ226" s="149"/>
      <c r="CA226" s="74"/>
      <c r="CB226" s="74"/>
    </row>
    <row r="227" spans="1:80" hidden="1" x14ac:dyDescent="0.25">
      <c r="A227">
        <v>1</v>
      </c>
      <c r="B227" t="str">
        <f>B210</f>
        <v>SC Midlands KP Boys</v>
      </c>
      <c r="C227">
        <f>VLOOKUP(B227,AU$2:AY$10,4,FALSE)</f>
        <v>1279.1688939443791</v>
      </c>
      <c r="D227">
        <f>IF(A227=B218,B233,IF(A227=D218,D233,C227))</f>
        <v>1279.1688939443791</v>
      </c>
      <c r="G227">
        <f>IF(A227=E218,E233,IF(A227=G218,G233,D227))</f>
        <v>1279.1688939443791</v>
      </c>
      <c r="J227">
        <f>IF(A227=H218,H233,IF(A227=J218,J233,G227))</f>
        <v>1279.1688939443791</v>
      </c>
      <c r="V227" s="150"/>
      <c r="W227" s="150">
        <v>1</v>
      </c>
      <c r="X227" t="str">
        <f>Y210</f>
        <v>SC Midlands KP White</v>
      </c>
      <c r="Y227">
        <f>VLOOKUP(X227,AU$2:AY$10,4,FALSE)</f>
        <v>1194.5557629721243</v>
      </c>
      <c r="Z227">
        <f>IF(AND(W227=X218,ISNUMBER(X218)),X233,IF(AND(W227=Z218,ISNUMBER(Z218)),Z233,Y227))</f>
        <v>1194.5557629721243</v>
      </c>
      <c r="AC227">
        <f>IF(W227=AA218,AA233,IF(W227=AC218,AC233,Z227))</f>
        <v>1194.5557629721243</v>
      </c>
      <c r="AF227">
        <f>IF(W227=AD218,AD233,IF(W227=AF218,AF233,AC227))</f>
        <v>1194.5557629721243</v>
      </c>
      <c r="AT227" t="str">
        <f>B228</f>
        <v>MOTO 12'1</v>
      </c>
      <c r="AU227">
        <f>J228</f>
        <v>1184.8929904469214</v>
      </c>
      <c r="AW227" s="149"/>
      <c r="AX227" s="74"/>
      <c r="AY227" s="74"/>
      <c r="AZ227" s="74"/>
      <c r="BA227" s="74"/>
      <c r="BB227" s="149"/>
      <c r="BC227" s="74"/>
      <c r="BD227" s="74"/>
      <c r="BE227" s="149"/>
      <c r="BF227" s="74"/>
      <c r="BG227" s="74"/>
      <c r="BH227" s="149"/>
      <c r="BI227" s="74"/>
      <c r="BJ227" s="74"/>
      <c r="BK227" s="149"/>
      <c r="BL227" s="74"/>
      <c r="BM227" s="74"/>
      <c r="BN227" s="149"/>
      <c r="BO227" s="74"/>
      <c r="BP227" s="74"/>
      <c r="BQ227" s="149"/>
      <c r="BR227" s="74"/>
      <c r="BS227" s="74"/>
      <c r="BT227" s="149"/>
      <c r="BU227" s="74"/>
      <c r="BV227" s="74"/>
      <c r="BW227" s="149"/>
      <c r="BX227" s="74"/>
      <c r="BY227" s="74"/>
      <c r="BZ227" s="149"/>
      <c r="CA227" s="74"/>
      <c r="CB227" s="74"/>
    </row>
    <row r="228" spans="1:80" hidden="1" x14ac:dyDescent="0.25">
      <c r="A228">
        <v>2</v>
      </c>
      <c r="B228" t="str">
        <f>B211</f>
        <v>MOTO 12'1</v>
      </c>
      <c r="C228">
        <f>VLOOKUP(B228,AU$2:AY$10,4,FALSE)</f>
        <v>1184.8929904469214</v>
      </c>
      <c r="D228">
        <f>IF(A228=B218,B233,IF(A228=D218,D233,C228))</f>
        <v>1184.8929904469214</v>
      </c>
      <c r="G228">
        <f>IF(A228=E218,E233,IF(A228=G218,G233,D228))</f>
        <v>1184.8929904469214</v>
      </c>
      <c r="J228">
        <f>IF(A228=H218,H233,IF(A228=J218,J233,G228))</f>
        <v>1184.8929904469214</v>
      </c>
      <c r="V228" s="150"/>
      <c r="W228" s="150">
        <v>2</v>
      </c>
      <c r="X228" t="str">
        <f>Y211</f>
        <v>C1VB Juniors Grey</v>
      </c>
      <c r="Y228">
        <f>VLOOKUP(X228,AU$2:AY$10,4,FALSE)</f>
        <v>1128.4564107962669</v>
      </c>
      <c r="Z228">
        <f>IF(W228=X218,X233,IF(W228=Z218,Z233,Y228))</f>
        <v>1128.4564107962669</v>
      </c>
      <c r="AC228">
        <f>IF(W228=AA218,AA233,IF(W228=AC218,AC233,Z228))</f>
        <v>1128.4564107962669</v>
      </c>
      <c r="AF228">
        <f>IF(W228=AD218,AD233,IF(W228=AF218,AF233,AC228))</f>
        <v>1128.4564107962669</v>
      </c>
      <c r="AT228" t="str">
        <f>B229</f>
        <v>Intense kids power col</v>
      </c>
      <c r="AU228">
        <f>J229</f>
        <v>1223.9024274255546</v>
      </c>
      <c r="AW228" s="149"/>
      <c r="AX228" s="74"/>
      <c r="AY228" s="74"/>
      <c r="AZ228" s="74"/>
      <c r="BA228" s="74"/>
      <c r="BB228" s="149"/>
      <c r="BC228" s="74"/>
      <c r="BD228" s="74"/>
      <c r="BE228" s="149"/>
      <c r="BF228" s="74"/>
      <c r="BG228" s="74"/>
      <c r="BH228" s="149"/>
      <c r="BI228" s="74"/>
      <c r="BJ228" s="74"/>
      <c r="BK228" s="149"/>
      <c r="BL228" s="74"/>
      <c r="BM228" s="74"/>
      <c r="BN228" s="149"/>
      <c r="BO228" s="74"/>
      <c r="BP228" s="74"/>
      <c r="BQ228" s="149"/>
      <c r="BR228" s="74"/>
      <c r="BS228" s="74"/>
      <c r="BT228" s="149"/>
      <c r="BU228" s="74"/>
      <c r="BV228" s="74"/>
      <c r="BW228" s="149"/>
      <c r="BX228" s="74"/>
      <c r="BY228" s="74"/>
      <c r="BZ228" s="149"/>
      <c r="CA228" s="74"/>
      <c r="CB228" s="74"/>
    </row>
    <row r="229" spans="1:80" hidden="1" x14ac:dyDescent="0.25">
      <c r="A229">
        <v>3</v>
      </c>
      <c r="B229" t="str">
        <f>B212</f>
        <v>Intense kids power col</v>
      </c>
      <c r="C229">
        <f>VLOOKUP(B229,AU$2:AY$10,4,FALSE)</f>
        <v>1223.9024274255546</v>
      </c>
      <c r="D229">
        <f>IF(A229=B218,B233,IF(A229=D218,D233,C229))</f>
        <v>1223.9024274255546</v>
      </c>
      <c r="G229">
        <f>IF(A229=E218,E233,IF(A229=G218,G233,D229))</f>
        <v>1223.9024274255546</v>
      </c>
      <c r="J229">
        <f>IF(A229=H218,H233,IF(A229=J218,J233,G229))</f>
        <v>1223.9024274255546</v>
      </c>
      <c r="V229" s="150"/>
      <c r="W229" s="150">
        <v>3</v>
      </c>
      <c r="X229" t="str">
        <f>Y212</f>
        <v>C1VB Juniors Royal</v>
      </c>
      <c r="Y229">
        <f>VLOOKUP(X229,AU$2:AY$10,4,FALSE)</f>
        <v>1221.7686698636426</v>
      </c>
      <c r="Z229">
        <f>IF(W229=X218,X233,IF(W229=Z218,Z233,Y229))</f>
        <v>1221.7686698636426</v>
      </c>
      <c r="AC229">
        <f>IF(W229=AA218,AA233,IF(W229=AC218,AC233,Z229))</f>
        <v>1221.7686698636426</v>
      </c>
      <c r="AF229">
        <f>IF(W229=AD218,AD233,IF(W229=AF218,AF233,AC229))</f>
        <v>1221.7686698636426</v>
      </c>
      <c r="AT229" t="str">
        <f>B230</f>
        <v>Foothills Vanessa</v>
      </c>
      <c r="AU229">
        <f>J230</f>
        <v>1167.2548445511111</v>
      </c>
      <c r="AW229" s="149"/>
      <c r="AX229" s="74"/>
      <c r="AY229" s="74"/>
      <c r="AZ229" s="74"/>
      <c r="BA229" s="74"/>
      <c r="BB229" s="149"/>
      <c r="BC229" s="74"/>
      <c r="BD229" s="74"/>
      <c r="BE229" s="149"/>
      <c r="BF229" s="74"/>
      <c r="BG229" s="74"/>
      <c r="BH229" s="149"/>
      <c r="BI229" s="74"/>
      <c r="BJ229" s="74"/>
      <c r="BK229" s="149"/>
      <c r="BL229" s="74"/>
      <c r="BM229" s="74"/>
      <c r="BN229" s="149"/>
      <c r="BO229" s="74"/>
      <c r="BP229" s="74"/>
      <c r="BQ229" s="149"/>
      <c r="BR229" s="74"/>
      <c r="BS229" s="74"/>
      <c r="BT229" s="149"/>
      <c r="BU229" s="74"/>
      <c r="BV229" s="74"/>
      <c r="BW229" s="149"/>
      <c r="BX229" s="74"/>
      <c r="BY229" s="74"/>
      <c r="BZ229" s="149"/>
      <c r="CA229" s="74"/>
      <c r="CB229" s="74"/>
    </row>
    <row r="230" spans="1:80" hidden="1" x14ac:dyDescent="0.25">
      <c r="A230">
        <v>4</v>
      </c>
      <c r="B230" t="str">
        <f>B213</f>
        <v>Foothills Vanessa</v>
      </c>
      <c r="C230">
        <f>VLOOKUP(B230,AU$2:AY$10,4,FALSE)</f>
        <v>1167.2548445511111</v>
      </c>
      <c r="D230">
        <f>IF(A230=B218,B233,IF(A230=D218,D233,C230))</f>
        <v>1167.2548445511111</v>
      </c>
      <c r="G230">
        <f>IF(A230=E218,E233,IF(A230=G218,G233,D230))</f>
        <v>1167.2548445511111</v>
      </c>
      <c r="J230">
        <f>IF(A230=H218,H233,IF(A230=J218,J233,G230))</f>
        <v>1167.2548445511111</v>
      </c>
      <c r="V230" s="150"/>
      <c r="W230" s="150">
        <v>4</v>
      </c>
      <c r="X230" t="str">
        <f>Y213</f>
        <v>BYE</v>
      </c>
      <c r="Y230" t="e">
        <f>VLOOKUP(X230,AU$2:AY$10,4,FALSE)</f>
        <v>#N/A</v>
      </c>
      <c r="Z230" t="e">
        <f>IF(W230=X218,X233,IF(W230=Z218,Z233,Y230))</f>
        <v>#N/A</v>
      </c>
      <c r="AC230" t="e">
        <f>IF(W230=AA218,AA233,IF(W230=AC218,AC233,Z230))</f>
        <v>#N/A</v>
      </c>
      <c r="AF230" t="e">
        <f>IF(W230=AD218,AD233,IF(W230=AF218,AF233,AC230))</f>
        <v>#N/A</v>
      </c>
      <c r="AT230" t="str">
        <f>X227</f>
        <v>SC Midlands KP White</v>
      </c>
      <c r="AU230">
        <f>AF227</f>
        <v>1194.5557629721243</v>
      </c>
      <c r="AW230" s="149"/>
      <c r="AX230" s="74"/>
      <c r="AY230" s="74"/>
      <c r="AZ230" s="74"/>
      <c r="BA230" s="74"/>
      <c r="BB230" s="149"/>
      <c r="BC230" s="74"/>
      <c r="BD230" s="74"/>
      <c r="BE230" s="149"/>
      <c r="BF230" s="74"/>
      <c r="BG230" s="74"/>
      <c r="BH230" s="149"/>
      <c r="BI230" s="74"/>
      <c r="BJ230" s="74"/>
      <c r="BK230" s="149"/>
      <c r="BL230" s="74"/>
      <c r="BM230" s="74"/>
      <c r="BN230" s="149"/>
      <c r="BO230" s="74"/>
      <c r="BP230" s="74"/>
      <c r="BQ230" s="149"/>
      <c r="BR230" s="74"/>
      <c r="BS230" s="74"/>
      <c r="BT230" s="149"/>
      <c r="BU230" s="74"/>
      <c r="BV230" s="74"/>
      <c r="BW230" s="149"/>
      <c r="BX230" s="74"/>
      <c r="BY230" s="74"/>
      <c r="BZ230" s="149"/>
      <c r="CA230" s="74"/>
      <c r="CB230" s="74"/>
    </row>
    <row r="231" spans="1:80" hidden="1" x14ac:dyDescent="0.25">
      <c r="A231" t="s">
        <v>88</v>
      </c>
      <c r="B231">
        <f>VLOOKUP(B218,$A227:$J230,3,FALSE)</f>
        <v>1279.1688939443791</v>
      </c>
      <c r="D231">
        <f>VLOOKUP(D218,$A227:$J230,3,FALSE)</f>
        <v>1167.2548445511111</v>
      </c>
      <c r="E231">
        <f>VLOOKUP(E218,$A227:$J230,4,FALSE)</f>
        <v>1184.8929904469214</v>
      </c>
      <c r="G231">
        <f>VLOOKUP(G218,$A227:$J230,4,FALSE)</f>
        <v>1223.9024274255546</v>
      </c>
      <c r="H231" t="e">
        <f>VLOOKUP(H218,$A227:$J230,7,FALSE)</f>
        <v>#N/A</v>
      </c>
      <c r="J231" t="e">
        <f>VLOOKUP(J218,$A227:$J230,7,FALSE)</f>
        <v>#N/A</v>
      </c>
      <c r="U231" s="416" t="s">
        <v>88</v>
      </c>
      <c r="V231" s="416"/>
      <c r="W231" s="416"/>
      <c r="X231">
        <f>VLOOKUP(X218,$W227:$AF230,3,FALSE)</f>
        <v>1194.5557629721243</v>
      </c>
      <c r="Z231" t="e">
        <f>VLOOKUP(Z218,$W227:$AF230,3,FALSE)</f>
        <v>#N/A</v>
      </c>
      <c r="AA231">
        <f>VLOOKUP(AA218,$W227:$AF230,4,FALSE)</f>
        <v>1128.4564107962669</v>
      </c>
      <c r="AC231">
        <f>VLOOKUP(AC218,$W227:$AF230,4,FALSE)</f>
        <v>1221.7686698636426</v>
      </c>
      <c r="AD231">
        <f>VLOOKUP(AD218,$W227:$AF230,7,FALSE)</f>
        <v>1194.5557629721243</v>
      </c>
      <c r="AF231" t="e">
        <f>VLOOKUP(AF218,$W227:$AF230,7,FALSE)</f>
        <v>#N/A</v>
      </c>
      <c r="AT231" t="str">
        <f>X228</f>
        <v>C1VB Juniors Grey</v>
      </c>
      <c r="AU231">
        <f>AF228</f>
        <v>1128.4564107962669</v>
      </c>
      <c r="AW231" s="149"/>
      <c r="AX231" s="74"/>
      <c r="AY231" s="74"/>
      <c r="AZ231" s="74"/>
      <c r="BA231" s="74"/>
      <c r="BB231" s="149"/>
      <c r="BC231" s="74"/>
      <c r="BD231" s="74"/>
      <c r="BE231" s="149"/>
      <c r="BF231" s="74"/>
      <c r="BG231" s="74"/>
      <c r="BH231" s="149"/>
      <c r="BI231" s="74"/>
      <c r="BJ231" s="74"/>
      <c r="BK231" s="149"/>
      <c r="BL231" s="74"/>
      <c r="BM231" s="74"/>
      <c r="BN231" s="149"/>
      <c r="BO231" s="74"/>
      <c r="BP231" s="74"/>
      <c r="BQ231" s="149"/>
      <c r="BR231" s="74"/>
      <c r="BS231" s="74"/>
      <c r="BT231" s="149"/>
      <c r="BU231" s="74"/>
      <c r="BV231" s="74"/>
      <c r="BW231" s="149"/>
      <c r="BX231" s="74"/>
      <c r="BY231" s="74"/>
      <c r="BZ231" s="149"/>
      <c r="CA231" s="74"/>
      <c r="CB231" s="74"/>
    </row>
    <row r="232" spans="1:80" hidden="1" x14ac:dyDescent="0.25">
      <c r="A232" s="88" t="s">
        <v>89</v>
      </c>
      <c r="B232" s="88">
        <f>IF(OR(B222&gt;0,D222&gt;0),1/(1+(10^-((B231-D231)/400)))*(B222+D222),0)</f>
        <v>0</v>
      </c>
      <c r="C232" s="88"/>
      <c r="D232" s="88">
        <f>IF(OR(B222&gt;0,D222&gt;0),1/(1+(10^-((D231-B231)/400)))*(B222+D222),0)</f>
        <v>0</v>
      </c>
      <c r="E232" s="88">
        <f>IF(OR(E222&gt;0,G222&gt;0),1/(1+(10^-((E231-G231)/400)))*(E222+G222),0)</f>
        <v>0</v>
      </c>
      <c r="F232" s="88"/>
      <c r="G232" s="88">
        <f>IF(OR(E222&gt;0,G222&gt;0),1/(1+(10^-((G231-E231)/400)))*(E222+G222),0)</f>
        <v>0</v>
      </c>
      <c r="H232" s="88">
        <f>IF(OR(H222&gt;0,J222&gt;0),1/(1+(10^-((H231-J231)/400)))*(H222+J222),0)</f>
        <v>0</v>
      </c>
      <c r="I232" s="88"/>
      <c r="J232" s="88">
        <f>IF(OR(H222&gt;0,J222&gt;0),1/(1+(10^-((J231-H231)/400)))*(H222+J222),0)</f>
        <v>0</v>
      </c>
      <c r="K232" s="88"/>
      <c r="U232" s="417" t="s">
        <v>89</v>
      </c>
      <c r="V232" s="417"/>
      <c r="W232" s="417"/>
      <c r="X232" s="88">
        <f>IF(OR(X222&gt;0,Z222&gt;0),1/(1+(10^-((X231-Z231)/400)))*(X222+Z222),0)</f>
        <v>0</v>
      </c>
      <c r="Y232" s="88"/>
      <c r="Z232" s="88">
        <f>IF(OR(X222&gt;0,Z222&gt;0),1/(1+(10^-((Z231-X231)/400)))*(X222+Z222),0)</f>
        <v>0</v>
      </c>
      <c r="AA232" s="88">
        <f>IF(OR(AA222&gt;0,AC222&gt;0),1/(1+(10^-((AA231-AC231)/400)))*(AA222+AC222),0)</f>
        <v>0</v>
      </c>
      <c r="AB232" s="88"/>
      <c r="AC232" s="88">
        <f>IF(OR(AA222&gt;0,AC222&gt;0),1/(1+(10^-((AC231-AA231)/400)))*(AA222+AC222),0)</f>
        <v>0</v>
      </c>
      <c r="AD232" s="88">
        <f>IF(OR(AD222&gt;0,AF222&gt;0),1/(1+(10^-((AD231-AF231)/400)))*(AD222+AF222),0)</f>
        <v>0</v>
      </c>
      <c r="AE232" s="88"/>
      <c r="AF232" s="88">
        <f>IF(OR(AD222&gt;0,AF222&gt;0),1/(1+(10^-((AF231-AD231)/400)))*(AD222+AF222),0)</f>
        <v>0</v>
      </c>
      <c r="AT232" t="str">
        <f>X229</f>
        <v>C1VB Juniors Royal</v>
      </c>
      <c r="AU232">
        <f>AF229</f>
        <v>1221.7686698636426</v>
      </c>
      <c r="AW232" s="149"/>
      <c r="AX232" s="74"/>
      <c r="AY232" s="74"/>
      <c r="AZ232" s="74"/>
      <c r="BA232" s="74"/>
      <c r="BB232" s="149"/>
      <c r="BC232" s="74"/>
      <c r="BD232" s="74"/>
      <c r="BE232" s="149"/>
      <c r="BF232" s="74"/>
      <c r="BG232" s="74"/>
      <c r="BH232" s="149"/>
      <c r="BI232" s="74"/>
      <c r="BJ232" s="74"/>
      <c r="BK232" s="149"/>
      <c r="BL232" s="74"/>
      <c r="BM232" s="74"/>
      <c r="BN232" s="149"/>
      <c r="BO232" s="74"/>
      <c r="BP232" s="74"/>
      <c r="BQ232" s="149"/>
      <c r="BR232" s="74"/>
      <c r="BS232" s="74"/>
      <c r="BT232" s="149"/>
      <c r="BU232" s="74"/>
      <c r="BV232" s="74"/>
      <c r="BW232" s="149"/>
      <c r="BX232" s="74"/>
      <c r="BY232" s="74"/>
      <c r="BZ232" s="149"/>
      <c r="CA232" s="74"/>
      <c r="CB232" s="74"/>
    </row>
    <row r="233" spans="1:80" hidden="1" x14ac:dyDescent="0.25">
      <c r="A233" s="94" t="s">
        <v>90</v>
      </c>
      <c r="B233" s="94">
        <f>B231+(B222-B232)*$BA$2</f>
        <v>1279.1688939443791</v>
      </c>
      <c r="C233" s="94"/>
      <c r="D233" s="94">
        <f>D231+(D222-D232)*$BA$2</f>
        <v>1167.2548445511111</v>
      </c>
      <c r="E233" s="94">
        <f>E231+(E222-E232)*$BA$2</f>
        <v>1184.8929904469214</v>
      </c>
      <c r="G233" s="94">
        <f>G231+(G222-G232)*$BA$2</f>
        <v>1223.9024274255546</v>
      </c>
      <c r="H233" s="94" t="e">
        <f>H231+(H222-H232)*$BA$2</f>
        <v>#N/A</v>
      </c>
      <c r="J233" s="94" t="e">
        <f>J231+(J222-J232)*$BA$2</f>
        <v>#N/A</v>
      </c>
      <c r="K233" s="94"/>
      <c r="U233" s="405" t="s">
        <v>90</v>
      </c>
      <c r="V233" s="405"/>
      <c r="W233" s="405"/>
      <c r="X233" s="94">
        <f>X231+(X222-X232)*$BA$2</f>
        <v>1194.5557629721243</v>
      </c>
      <c r="Y233" s="94"/>
      <c r="Z233" s="94" t="e">
        <f>Z231+(Z222-Z232)*$BA$2</f>
        <v>#N/A</v>
      </c>
      <c r="AA233" s="94">
        <f>AA231+(AA222-AA232)*$BA$2</f>
        <v>1128.4564107962669</v>
      </c>
      <c r="AC233" s="94">
        <f>AC231+(AC222-AC232)*$BA$2</f>
        <v>1221.7686698636426</v>
      </c>
      <c r="AD233" s="94">
        <f>AD231+(AD222-AD232)*$BA$2</f>
        <v>1194.5557629721243</v>
      </c>
      <c r="AF233" s="94" t="e">
        <f>AF231+(AF222-AF232)*$BA$2</f>
        <v>#N/A</v>
      </c>
      <c r="AT233" t="str">
        <f>X230</f>
        <v>BYE</v>
      </c>
      <c r="AU233" t="e">
        <f>AF230</f>
        <v>#N/A</v>
      </c>
      <c r="AW233" s="149"/>
      <c r="AX233" s="74"/>
      <c r="AY233" s="74"/>
      <c r="AZ233" s="74"/>
      <c r="BA233" s="74"/>
      <c r="BB233" s="149"/>
      <c r="BC233" s="74"/>
      <c r="BD233" s="74"/>
      <c r="BE233" s="149"/>
      <c r="BF233" s="74"/>
      <c r="BG233" s="74"/>
      <c r="BH233" s="149"/>
      <c r="BI233" s="74"/>
      <c r="BJ233" s="74"/>
      <c r="BK233" s="149"/>
      <c r="BL233" s="74"/>
      <c r="BM233" s="74"/>
      <c r="BN233" s="149"/>
      <c r="BO233" s="74"/>
      <c r="BP233" s="74"/>
      <c r="BQ233" s="149"/>
      <c r="BR233" s="74"/>
      <c r="BS233" s="74"/>
      <c r="BT233" s="149"/>
      <c r="BU233" s="74"/>
      <c r="BV233" s="74"/>
      <c r="BW233" s="149"/>
      <c r="BX233" s="74"/>
      <c r="BY233" s="74"/>
      <c r="BZ233" s="149"/>
      <c r="CA233" s="74"/>
      <c r="CB233" s="74"/>
    </row>
    <row r="234" spans="1:80" x14ac:dyDescent="0.25">
      <c r="A234" s="406" t="s">
        <v>140</v>
      </c>
      <c r="B234" s="406"/>
      <c r="C234" s="406"/>
      <c r="D234" s="406"/>
      <c r="E234" s="406"/>
      <c r="F234" s="406"/>
      <c r="G234" s="406"/>
      <c r="H234" s="406"/>
      <c r="I234" s="406"/>
      <c r="J234" s="406"/>
      <c r="K234" s="406"/>
      <c r="L234" s="406"/>
      <c r="M234" s="406"/>
      <c r="N234" s="406"/>
      <c r="S234" s="120"/>
      <c r="T234" s="120"/>
      <c r="U234" s="142"/>
      <c r="V234" s="142"/>
      <c r="W234" s="406" t="s">
        <v>140</v>
      </c>
      <c r="X234" s="406"/>
      <c r="Y234" s="406"/>
      <c r="Z234" s="406"/>
      <c r="AA234" s="406"/>
      <c r="AB234" s="406"/>
      <c r="AC234" s="406"/>
      <c r="AD234" s="406"/>
      <c r="AE234" s="406"/>
      <c r="AF234" s="406"/>
      <c r="AG234" s="406"/>
      <c r="AH234" s="406"/>
      <c r="AI234" s="120"/>
      <c r="AJ234" s="120"/>
      <c r="AK234" s="120"/>
      <c r="AZ234" s="74"/>
      <c r="BA234" s="74"/>
    </row>
    <row r="235" spans="1:80" x14ac:dyDescent="0.25">
      <c r="AT235" s="74"/>
      <c r="AU235" s="74"/>
      <c r="AZ235" s="74"/>
      <c r="BA235" s="74"/>
    </row>
    <row r="236" spans="1:80" x14ac:dyDescent="0.25">
      <c r="AT236" s="74"/>
      <c r="AU236" s="74"/>
      <c r="AZ236" s="74"/>
      <c r="BA236" s="74"/>
    </row>
    <row r="237" spans="1:80" x14ac:dyDescent="0.25">
      <c r="AT237" s="74"/>
      <c r="AU237" s="74"/>
      <c r="AZ237" s="74"/>
      <c r="BA237" s="74"/>
    </row>
    <row r="238" spans="1:80" x14ac:dyDescent="0.25">
      <c r="AT238" s="74"/>
      <c r="AU238" s="74"/>
      <c r="AZ238" s="74"/>
      <c r="BA238" s="74"/>
    </row>
    <row r="239" spans="1:80" x14ac:dyDescent="0.25">
      <c r="AT239" s="74"/>
      <c r="AU239" s="74"/>
      <c r="AZ239" s="74"/>
      <c r="BA239" s="74"/>
    </row>
    <row r="240" spans="1:80" x14ac:dyDescent="0.25">
      <c r="AT240" s="74"/>
      <c r="AU240" s="74"/>
      <c r="AZ240" s="74"/>
      <c r="BA240" s="74"/>
    </row>
    <row r="241" spans="46:53" x14ac:dyDescent="0.25">
      <c r="AT241" s="74"/>
      <c r="AU241" s="74"/>
      <c r="AZ241" s="74"/>
      <c r="BA241" s="74"/>
    </row>
    <row r="242" spans="46:53" x14ac:dyDescent="0.25">
      <c r="AT242" s="74"/>
      <c r="AU242" s="74"/>
      <c r="AZ242" s="74"/>
      <c r="BA242" s="74"/>
    </row>
    <row r="243" spans="46:53" x14ac:dyDescent="0.25">
      <c r="AT243" s="74"/>
      <c r="AU243" s="74"/>
      <c r="AZ243" s="74"/>
      <c r="BA243" s="74"/>
    </row>
    <row r="244" spans="46:53" x14ac:dyDescent="0.25">
      <c r="AT244" s="74"/>
      <c r="AU244" s="74"/>
      <c r="AZ244" s="74"/>
      <c r="BA244" s="74"/>
    </row>
    <row r="245" spans="46:53" x14ac:dyDescent="0.25">
      <c r="AT245" s="74"/>
      <c r="AU245" s="74"/>
      <c r="AZ245" s="74"/>
      <c r="BA245" s="74"/>
    </row>
    <row r="246" spans="46:53" x14ac:dyDescent="0.25">
      <c r="AT246" s="74"/>
      <c r="AU246" s="74"/>
      <c r="AZ246" s="74"/>
      <c r="BA246" s="74"/>
    </row>
    <row r="247" spans="46:53" x14ac:dyDescent="0.25">
      <c r="AT247" s="74"/>
      <c r="AU247" s="74"/>
    </row>
    <row r="248" spans="46:53" x14ac:dyDescent="0.25">
      <c r="AT248" s="74"/>
      <c r="AU248" s="74"/>
      <c r="AZ248" s="81"/>
      <c r="BA248" s="81"/>
    </row>
    <row r="249" spans="46:53" x14ac:dyDescent="0.25">
      <c r="AT249" s="74"/>
      <c r="AU249" s="74"/>
      <c r="AZ249" s="81"/>
      <c r="BA249" s="81"/>
    </row>
    <row r="250" spans="46:53" x14ac:dyDescent="0.25">
      <c r="AT250" s="74"/>
      <c r="AU250" s="74"/>
      <c r="AZ250" s="81"/>
      <c r="BA250" s="81"/>
    </row>
    <row r="251" spans="46:53" x14ac:dyDescent="0.25">
      <c r="AT251" s="74"/>
      <c r="AU251" s="74"/>
      <c r="AZ251" s="81"/>
      <c r="BA251" s="81"/>
    </row>
    <row r="252" spans="46:53" x14ac:dyDescent="0.25">
      <c r="AT252" s="74"/>
      <c r="AU252" s="74"/>
      <c r="AZ252" s="81"/>
      <c r="BA252" s="81"/>
    </row>
    <row r="253" spans="46:53" x14ac:dyDescent="0.25">
      <c r="AT253" s="74"/>
      <c r="AU253" s="74"/>
      <c r="AZ253" s="81"/>
      <c r="BA253" s="81"/>
    </row>
    <row r="254" spans="46:53" x14ac:dyDescent="0.25">
      <c r="AT254" s="74"/>
      <c r="AU254" s="74"/>
      <c r="AZ254" s="81"/>
      <c r="BA254" s="81"/>
    </row>
    <row r="255" spans="46:53" x14ac:dyDescent="0.25">
      <c r="AT255" s="74"/>
      <c r="AU255" s="74"/>
      <c r="AZ255" s="81"/>
      <c r="BA255" s="81"/>
    </row>
    <row r="256" spans="46:53" x14ac:dyDescent="0.25">
      <c r="AT256" s="74"/>
      <c r="AU256" s="74"/>
      <c r="AZ256" s="91"/>
      <c r="BA256" s="91"/>
    </row>
    <row r="257" spans="46:53" x14ac:dyDescent="0.25">
      <c r="AT257" s="74"/>
      <c r="AU257" s="74"/>
      <c r="AZ257" s="97"/>
      <c r="BA257" s="97"/>
    </row>
    <row r="258" spans="46:53" x14ac:dyDescent="0.25">
      <c r="AT258" s="74"/>
      <c r="AU258" s="74"/>
      <c r="AZ258" s="97"/>
      <c r="BA258" s="97"/>
    </row>
    <row r="259" spans="46:53" x14ac:dyDescent="0.25">
      <c r="AT259" s="74"/>
      <c r="AU259" s="74"/>
      <c r="AZ259" s="81"/>
      <c r="BA259" s="81"/>
    </row>
    <row r="260" spans="46:53" x14ac:dyDescent="0.25">
      <c r="AT260" s="81"/>
      <c r="AU260" s="81"/>
      <c r="AZ260" s="81"/>
      <c r="BA260" s="81"/>
    </row>
    <row r="261" spans="46:53" x14ac:dyDescent="0.25">
      <c r="AT261" s="81"/>
      <c r="AU261" s="81"/>
    </row>
    <row r="286" spans="46:53" x14ac:dyDescent="0.25">
      <c r="AT286" s="74"/>
      <c r="AU286" s="74"/>
      <c r="AZ286" s="74"/>
      <c r="BA286" s="74"/>
    </row>
    <row r="287" spans="46:53" x14ac:dyDescent="0.25">
      <c r="AT287" s="74"/>
      <c r="AU287" s="74"/>
      <c r="AZ287" s="74"/>
      <c r="BA287" s="74"/>
    </row>
    <row r="288" spans="46:53" x14ac:dyDescent="0.25">
      <c r="AT288" s="74"/>
      <c r="AU288" s="74"/>
      <c r="AZ288" s="74"/>
      <c r="BA288" s="74"/>
    </row>
    <row r="289" spans="46:53" x14ac:dyDescent="0.25">
      <c r="AT289" s="74"/>
      <c r="AU289" s="74"/>
      <c r="AZ289" s="74"/>
      <c r="BA289" s="74"/>
    </row>
    <row r="290" spans="46:53" x14ac:dyDescent="0.25">
      <c r="AT290" s="74"/>
      <c r="AU290" s="74"/>
      <c r="AZ290" s="74"/>
      <c r="BA290" s="74"/>
    </row>
    <row r="291" spans="46:53" x14ac:dyDescent="0.25">
      <c r="AT291" s="74"/>
      <c r="AU291" s="74"/>
      <c r="AZ291" s="74"/>
      <c r="BA291" s="74"/>
    </row>
    <row r="292" spans="46:53" x14ac:dyDescent="0.25">
      <c r="AT292" s="74"/>
      <c r="AU292" s="74"/>
      <c r="AZ292" s="74"/>
      <c r="BA292" s="74"/>
    </row>
    <row r="293" spans="46:53" x14ac:dyDescent="0.25">
      <c r="AT293" s="74"/>
      <c r="AU293" s="74"/>
      <c r="AZ293" s="74"/>
      <c r="BA293" s="74"/>
    </row>
    <row r="294" spans="46:53" x14ac:dyDescent="0.25">
      <c r="AT294" s="74"/>
      <c r="AU294" s="74"/>
      <c r="AZ294" s="74"/>
      <c r="BA294" s="74"/>
    </row>
    <row r="295" spans="46:53" x14ac:dyDescent="0.25">
      <c r="AT295" s="74"/>
      <c r="AU295" s="74"/>
      <c r="AZ295" s="74"/>
      <c r="BA295" s="74"/>
    </row>
    <row r="296" spans="46:53" x14ac:dyDescent="0.25">
      <c r="AT296" s="74"/>
      <c r="AU296" s="74"/>
      <c r="AZ296" s="74"/>
      <c r="BA296" s="74"/>
    </row>
    <row r="297" spans="46:53" x14ac:dyDescent="0.25">
      <c r="AT297" s="74"/>
      <c r="AU297" s="74"/>
      <c r="AZ297" s="74"/>
      <c r="BA297" s="74"/>
    </row>
    <row r="298" spans="46:53" x14ac:dyDescent="0.25">
      <c r="AT298" s="74"/>
      <c r="AU298" s="74"/>
      <c r="AZ298" s="74"/>
      <c r="BA298" s="74"/>
    </row>
    <row r="299" spans="46:53" x14ac:dyDescent="0.25">
      <c r="AT299" s="74"/>
      <c r="AU299" s="74"/>
      <c r="AZ299" s="74"/>
      <c r="BA299" s="74"/>
    </row>
    <row r="300" spans="46:53" x14ac:dyDescent="0.25">
      <c r="AT300" s="74"/>
      <c r="AU300" s="74"/>
      <c r="AZ300" s="74"/>
      <c r="BA300" s="74"/>
    </row>
    <row r="301" spans="46:53" x14ac:dyDescent="0.25">
      <c r="AT301" s="74"/>
      <c r="AU301" s="74"/>
      <c r="AZ301" s="74"/>
      <c r="BA301" s="74"/>
    </row>
    <row r="302" spans="46:53" x14ac:dyDescent="0.25">
      <c r="AT302" s="74"/>
      <c r="AU302" s="74"/>
      <c r="AZ302" s="74"/>
      <c r="BA302" s="74"/>
    </row>
    <row r="303" spans="46:53" x14ac:dyDescent="0.25">
      <c r="AT303" s="74"/>
      <c r="AU303" s="74"/>
      <c r="AZ303" s="74"/>
      <c r="BA303" s="74"/>
    </row>
    <row r="304" spans="46:53" x14ac:dyDescent="0.25">
      <c r="AT304" s="74"/>
      <c r="AU304" s="74"/>
      <c r="AZ304" s="74"/>
      <c r="BA304" s="74"/>
    </row>
    <row r="305" spans="46:53" x14ac:dyDescent="0.25">
      <c r="AT305" s="74"/>
      <c r="AU305" s="74"/>
      <c r="AZ305" s="74"/>
      <c r="BA305" s="74"/>
    </row>
    <row r="306" spans="46:53" x14ac:dyDescent="0.25">
      <c r="AT306" s="74"/>
      <c r="AU306" s="74"/>
      <c r="AZ306" s="74"/>
      <c r="BA306" s="74"/>
    </row>
    <row r="307" spans="46:53" x14ac:dyDescent="0.25">
      <c r="AT307" s="74"/>
      <c r="AU307" s="74"/>
      <c r="AZ307" s="74"/>
      <c r="BA307" s="74"/>
    </row>
    <row r="308" spans="46:53" x14ac:dyDescent="0.25">
      <c r="AT308" s="74"/>
      <c r="AU308" s="74"/>
      <c r="AZ308" s="74"/>
      <c r="BA308" s="74"/>
    </row>
    <row r="309" spans="46:53" x14ac:dyDescent="0.25">
      <c r="AT309" s="74"/>
      <c r="AU309" s="74"/>
      <c r="AZ309" s="74"/>
      <c r="BA309" s="74"/>
    </row>
    <row r="310" spans="46:53" x14ac:dyDescent="0.25">
      <c r="AT310" s="74"/>
      <c r="AU310" s="74"/>
      <c r="AZ310" s="74"/>
      <c r="BA310" s="74"/>
    </row>
    <row r="311" spans="46:53" x14ac:dyDescent="0.25">
      <c r="AT311" s="74"/>
      <c r="AU311" s="74"/>
      <c r="AZ311" s="74"/>
      <c r="BA311" s="74"/>
    </row>
    <row r="312" spans="46:53" x14ac:dyDescent="0.25">
      <c r="AT312" s="74"/>
      <c r="AU312" s="74"/>
      <c r="AZ312" s="74"/>
      <c r="BA312" s="74"/>
    </row>
    <row r="313" spans="46:53" x14ac:dyDescent="0.25">
      <c r="AT313" s="74"/>
      <c r="AU313" s="74"/>
      <c r="AZ313" s="74"/>
      <c r="BA313" s="74"/>
    </row>
    <row r="314" spans="46:53" x14ac:dyDescent="0.25">
      <c r="AT314" s="74"/>
      <c r="AU314" s="74"/>
      <c r="AZ314" s="74"/>
      <c r="BA314" s="74"/>
    </row>
    <row r="315" spans="46:53" x14ac:dyDescent="0.25">
      <c r="AT315" s="74"/>
      <c r="AU315" s="74"/>
      <c r="AZ315" s="74"/>
      <c r="BA315" s="74"/>
    </row>
    <row r="316" spans="46:53" x14ac:dyDescent="0.25">
      <c r="AT316" s="74"/>
      <c r="AU316" s="74"/>
      <c r="AZ316" s="74"/>
      <c r="BA316" s="74"/>
    </row>
    <row r="317" spans="46:53" x14ac:dyDescent="0.25">
      <c r="AT317" s="74"/>
      <c r="AU317" s="74"/>
      <c r="AZ317" s="74"/>
      <c r="BA317" s="74"/>
    </row>
    <row r="318" spans="46:53" x14ac:dyDescent="0.25">
      <c r="AT318" s="74"/>
      <c r="AU318" s="74"/>
      <c r="AZ318" s="74"/>
      <c r="BA318" s="74"/>
    </row>
    <row r="319" spans="46:53" x14ac:dyDescent="0.25">
      <c r="AT319" s="74"/>
      <c r="AU319" s="74"/>
      <c r="AZ319" s="74"/>
      <c r="BA319" s="74"/>
    </row>
    <row r="320" spans="46:53" x14ac:dyDescent="0.25">
      <c r="AT320" s="74"/>
      <c r="AU320" s="74"/>
      <c r="AZ320" s="74"/>
      <c r="BA320" s="74"/>
    </row>
    <row r="321" spans="46:53" x14ac:dyDescent="0.25">
      <c r="AT321" s="74"/>
      <c r="AU321" s="74"/>
      <c r="AZ321" s="74"/>
      <c r="BA321" s="74"/>
    </row>
    <row r="322" spans="46:53" x14ac:dyDescent="0.25">
      <c r="AT322" s="74"/>
      <c r="AU322" s="74"/>
      <c r="AZ322" s="74"/>
      <c r="BA322" s="74"/>
    </row>
    <row r="323" spans="46:53" x14ac:dyDescent="0.25">
      <c r="AT323" s="74"/>
      <c r="AU323" s="74"/>
      <c r="AZ323" s="74"/>
      <c r="BA323" s="74"/>
    </row>
    <row r="324" spans="46:53" x14ac:dyDescent="0.25">
      <c r="AT324" s="74"/>
      <c r="AU324" s="74"/>
      <c r="AZ324" s="74"/>
      <c r="BA324" s="74"/>
    </row>
    <row r="325" spans="46:53" x14ac:dyDescent="0.25">
      <c r="AT325" s="74"/>
      <c r="AU325" s="74"/>
      <c r="AZ325" s="74"/>
      <c r="BA325" s="74"/>
    </row>
    <row r="326" spans="46:53" x14ac:dyDescent="0.25">
      <c r="AT326" s="74"/>
      <c r="AU326" s="74"/>
      <c r="AZ326" s="74"/>
      <c r="BA326" s="74"/>
    </row>
    <row r="327" spans="46:53" x14ac:dyDescent="0.25">
      <c r="AT327" s="74"/>
      <c r="AU327" s="74"/>
      <c r="AZ327" s="74"/>
      <c r="BA327" s="74"/>
    </row>
    <row r="328" spans="46:53" x14ac:dyDescent="0.25">
      <c r="AT328" s="74"/>
      <c r="AU328" s="74"/>
      <c r="AZ328" s="74"/>
      <c r="BA328" s="74"/>
    </row>
    <row r="329" spans="46:53" x14ac:dyDescent="0.25">
      <c r="AT329" s="74"/>
      <c r="AU329" s="74"/>
      <c r="AZ329" s="74"/>
      <c r="BA329" s="74"/>
    </row>
    <row r="330" spans="46:53" x14ac:dyDescent="0.25">
      <c r="AT330" s="74"/>
      <c r="AU330" s="74"/>
      <c r="AZ330" s="74"/>
      <c r="BA330" s="74"/>
    </row>
    <row r="331" spans="46:53" x14ac:dyDescent="0.25">
      <c r="AT331" s="74"/>
      <c r="AU331" s="74"/>
      <c r="AZ331" s="74"/>
      <c r="BA331" s="74"/>
    </row>
    <row r="332" spans="46:53" x14ac:dyDescent="0.25">
      <c r="AT332" s="81"/>
      <c r="AU332" s="81"/>
    </row>
    <row r="333" spans="46:53" x14ac:dyDescent="0.25">
      <c r="AT333" s="81"/>
      <c r="AU333" s="81"/>
      <c r="AZ333" s="81"/>
      <c r="BA333" s="81"/>
    </row>
    <row r="334" spans="46:53" x14ac:dyDescent="0.25">
      <c r="AZ334" s="81"/>
      <c r="BA334" s="81"/>
    </row>
    <row r="335" spans="46:53" x14ac:dyDescent="0.25">
      <c r="AZ335" s="81"/>
      <c r="BA335" s="81"/>
    </row>
    <row r="336" spans="46:53" x14ac:dyDescent="0.25">
      <c r="AZ336" s="81"/>
      <c r="BA336" s="81"/>
    </row>
    <row r="337" spans="46:53" x14ac:dyDescent="0.25">
      <c r="AZ337" s="81"/>
      <c r="BA337" s="81"/>
    </row>
    <row r="338" spans="46:53" x14ac:dyDescent="0.25">
      <c r="AZ338" s="81"/>
      <c r="BA338" s="81"/>
    </row>
    <row r="339" spans="46:53" x14ac:dyDescent="0.25">
      <c r="AZ339" s="81"/>
      <c r="BA339" s="81"/>
    </row>
    <row r="340" spans="46:53" x14ac:dyDescent="0.25">
      <c r="AZ340" s="81"/>
      <c r="BA340" s="81"/>
    </row>
    <row r="341" spans="46:53" x14ac:dyDescent="0.25">
      <c r="AZ341" s="91"/>
      <c r="BA341" s="91"/>
    </row>
    <row r="342" spans="46:53" x14ac:dyDescent="0.25">
      <c r="AZ342" s="97"/>
      <c r="BA342" s="97"/>
    </row>
    <row r="343" spans="46:53" x14ac:dyDescent="0.25">
      <c r="AZ343" s="97"/>
      <c r="BA343" s="97"/>
    </row>
    <row r="344" spans="46:53" x14ac:dyDescent="0.25">
      <c r="AZ344" s="81"/>
      <c r="BA344" s="81"/>
    </row>
    <row r="345" spans="46:53" x14ac:dyDescent="0.25">
      <c r="AZ345" s="81"/>
      <c r="BA345" s="81"/>
    </row>
    <row r="348" spans="46:53" x14ac:dyDescent="0.25">
      <c r="AT348" s="113"/>
    </row>
    <row r="371" spans="46:53" x14ac:dyDescent="0.25">
      <c r="AZ371" s="74"/>
      <c r="BA371" s="74"/>
    </row>
    <row r="372" spans="46:53" x14ac:dyDescent="0.25">
      <c r="AZ372" s="74"/>
      <c r="BA372" s="74"/>
    </row>
    <row r="373" spans="46:53" x14ac:dyDescent="0.25">
      <c r="AZ373" s="74"/>
      <c r="BA373" s="74"/>
    </row>
    <row r="374" spans="46:53" x14ac:dyDescent="0.25">
      <c r="AZ374" s="74"/>
      <c r="BA374" s="74"/>
    </row>
    <row r="375" spans="46:53" x14ac:dyDescent="0.25">
      <c r="AZ375" s="74"/>
      <c r="BA375" s="74"/>
    </row>
    <row r="376" spans="46:53" x14ac:dyDescent="0.25">
      <c r="AZ376" s="74"/>
      <c r="BA376" s="74"/>
    </row>
    <row r="377" spans="46:53" x14ac:dyDescent="0.25">
      <c r="AZ377" s="74"/>
      <c r="BA377" s="74"/>
    </row>
    <row r="378" spans="46:53" x14ac:dyDescent="0.25">
      <c r="AZ378" s="74"/>
      <c r="BA378" s="74"/>
    </row>
    <row r="379" spans="46:53" x14ac:dyDescent="0.25">
      <c r="AZ379" s="74"/>
      <c r="BA379" s="74"/>
    </row>
    <row r="380" spans="46:53" x14ac:dyDescent="0.25">
      <c r="AZ380" s="74"/>
      <c r="BA380" s="74"/>
    </row>
    <row r="381" spans="46:53" x14ac:dyDescent="0.25">
      <c r="AZ381" s="74"/>
      <c r="BA381" s="74"/>
    </row>
    <row r="382" spans="46:53" x14ac:dyDescent="0.25">
      <c r="AZ382" s="74"/>
      <c r="BA382" s="74"/>
    </row>
    <row r="383" spans="46:53" x14ac:dyDescent="0.25">
      <c r="AZ383" s="74"/>
      <c r="BA383" s="74"/>
    </row>
    <row r="384" spans="46:53" x14ac:dyDescent="0.25">
      <c r="AT384" s="113"/>
      <c r="AZ384" s="74"/>
      <c r="BA384" s="74"/>
    </row>
    <row r="385" spans="52:53" x14ac:dyDescent="0.25">
      <c r="AZ385" s="74"/>
      <c r="BA385" s="74"/>
    </row>
    <row r="386" spans="52:53" x14ac:dyDescent="0.25">
      <c r="AZ386" s="74"/>
      <c r="BA386" s="74"/>
    </row>
    <row r="387" spans="52:53" x14ac:dyDescent="0.25">
      <c r="AZ387" s="74"/>
      <c r="BA387" s="74"/>
    </row>
    <row r="388" spans="52:53" x14ac:dyDescent="0.25">
      <c r="AZ388" s="74"/>
      <c r="BA388" s="74"/>
    </row>
    <row r="389" spans="52:53" x14ac:dyDescent="0.25">
      <c r="AZ389" s="74"/>
      <c r="BA389" s="74"/>
    </row>
    <row r="390" spans="52:53" x14ac:dyDescent="0.25">
      <c r="AZ390" s="74"/>
      <c r="BA390" s="74"/>
    </row>
    <row r="391" spans="52:53" x14ac:dyDescent="0.25">
      <c r="AZ391" s="74"/>
      <c r="BA391" s="74"/>
    </row>
    <row r="392" spans="52:53" x14ac:dyDescent="0.25">
      <c r="AZ392" s="74"/>
      <c r="BA392" s="74"/>
    </row>
    <row r="393" spans="52:53" x14ac:dyDescent="0.25">
      <c r="AZ393" s="74"/>
      <c r="BA393" s="74"/>
    </row>
    <row r="394" spans="52:53" x14ac:dyDescent="0.25">
      <c r="AZ394" s="74"/>
      <c r="BA394" s="74"/>
    </row>
    <row r="395" spans="52:53" x14ac:dyDescent="0.25">
      <c r="AZ395" s="74"/>
      <c r="BA395" s="74"/>
    </row>
    <row r="396" spans="52:53" x14ac:dyDescent="0.25">
      <c r="AZ396" s="74"/>
      <c r="BA396" s="74"/>
    </row>
    <row r="397" spans="52:53" x14ac:dyDescent="0.25">
      <c r="AZ397" s="74"/>
      <c r="BA397" s="74"/>
    </row>
    <row r="398" spans="52:53" x14ac:dyDescent="0.25">
      <c r="AZ398" s="74"/>
      <c r="BA398" s="74"/>
    </row>
    <row r="399" spans="52:53" x14ac:dyDescent="0.25">
      <c r="AZ399" s="74"/>
      <c r="BA399" s="74"/>
    </row>
    <row r="400" spans="52:53" x14ac:dyDescent="0.25">
      <c r="AZ400" s="74"/>
      <c r="BA400" s="74"/>
    </row>
    <row r="401" spans="52:53" x14ac:dyDescent="0.25">
      <c r="AZ401" s="74"/>
      <c r="BA401" s="74"/>
    </row>
    <row r="402" spans="52:53" x14ac:dyDescent="0.25">
      <c r="AZ402" s="74"/>
      <c r="BA402" s="74"/>
    </row>
    <row r="403" spans="52:53" x14ac:dyDescent="0.25">
      <c r="AZ403" s="74"/>
      <c r="BA403" s="74"/>
    </row>
    <row r="404" spans="52:53" x14ac:dyDescent="0.25">
      <c r="AZ404" s="74"/>
      <c r="BA404" s="74"/>
    </row>
    <row r="405" spans="52:53" x14ac:dyDescent="0.25">
      <c r="AZ405" s="74"/>
      <c r="BA405" s="74"/>
    </row>
    <row r="406" spans="52:53" x14ac:dyDescent="0.25">
      <c r="AZ406" s="74"/>
      <c r="BA406" s="74"/>
    </row>
    <row r="407" spans="52:53" x14ac:dyDescent="0.25">
      <c r="AZ407" s="74"/>
      <c r="BA407" s="74"/>
    </row>
    <row r="408" spans="52:53" x14ac:dyDescent="0.25">
      <c r="AZ408" s="74"/>
      <c r="BA408" s="74"/>
    </row>
    <row r="409" spans="52:53" x14ac:dyDescent="0.25">
      <c r="AZ409" s="74"/>
      <c r="BA409" s="74"/>
    </row>
    <row r="410" spans="52:53" x14ac:dyDescent="0.25">
      <c r="AZ410" s="74"/>
      <c r="BA410" s="74"/>
    </row>
    <row r="411" spans="52:53" x14ac:dyDescent="0.25">
      <c r="AZ411" s="74"/>
      <c r="BA411" s="74"/>
    </row>
    <row r="412" spans="52:53" x14ac:dyDescent="0.25">
      <c r="AZ412" s="74"/>
      <c r="BA412" s="74"/>
    </row>
    <row r="413" spans="52:53" x14ac:dyDescent="0.25">
      <c r="AZ413" s="74"/>
      <c r="BA413" s="74"/>
    </row>
    <row r="414" spans="52:53" x14ac:dyDescent="0.25">
      <c r="AZ414" s="74"/>
      <c r="BA414" s="74"/>
    </row>
    <row r="415" spans="52:53" x14ac:dyDescent="0.25">
      <c r="AZ415" s="74"/>
      <c r="BA415" s="74"/>
    </row>
    <row r="416" spans="52:53" x14ac:dyDescent="0.25">
      <c r="AZ416" s="74"/>
      <c r="BA416" s="74"/>
    </row>
    <row r="418" spans="52:53" x14ac:dyDescent="0.25">
      <c r="AZ418" s="81"/>
      <c r="BA418" s="81"/>
    </row>
    <row r="419" spans="52:53" x14ac:dyDescent="0.25">
      <c r="AZ419" s="81"/>
      <c r="BA419" s="81"/>
    </row>
    <row r="420" spans="52:53" x14ac:dyDescent="0.25">
      <c r="AZ420" s="81"/>
      <c r="BA420" s="81"/>
    </row>
    <row r="421" spans="52:53" x14ac:dyDescent="0.25">
      <c r="AZ421" s="81"/>
      <c r="BA421" s="81"/>
    </row>
    <row r="422" spans="52:53" x14ac:dyDescent="0.25">
      <c r="AZ422" s="81"/>
      <c r="BA422" s="81"/>
    </row>
    <row r="423" spans="52:53" x14ac:dyDescent="0.25">
      <c r="AZ423" s="81"/>
      <c r="BA423" s="81"/>
    </row>
    <row r="424" spans="52:53" x14ac:dyDescent="0.25">
      <c r="AZ424" s="81"/>
      <c r="BA424" s="81"/>
    </row>
    <row r="425" spans="52:53" x14ac:dyDescent="0.25">
      <c r="AZ425" s="81"/>
      <c r="BA425" s="81"/>
    </row>
    <row r="426" spans="52:53" x14ac:dyDescent="0.25">
      <c r="AZ426" s="91"/>
      <c r="BA426" s="91"/>
    </row>
    <row r="427" spans="52:53" x14ac:dyDescent="0.25">
      <c r="AZ427" s="97"/>
      <c r="BA427" s="97"/>
    </row>
    <row r="428" spans="52:53" x14ac:dyDescent="0.25">
      <c r="AZ428" s="97"/>
      <c r="BA428" s="97"/>
    </row>
    <row r="429" spans="52:53" x14ac:dyDescent="0.25">
      <c r="AZ429" s="81"/>
      <c r="BA429" s="81"/>
    </row>
    <row r="430" spans="52:53" x14ac:dyDescent="0.25">
      <c r="AZ430" s="81"/>
      <c r="BA430" s="81"/>
    </row>
  </sheetData>
  <sheetProtection sheet="1" formatCells="0" selectLockedCells="1"/>
  <mergeCells count="431">
    <mergeCell ref="U233:W233"/>
    <mergeCell ref="A234:N234"/>
    <mergeCell ref="W234:AH234"/>
    <mergeCell ref="U221:W221"/>
    <mergeCell ref="U222:W222"/>
    <mergeCell ref="K223:N225"/>
    <mergeCell ref="AG223:AH225"/>
    <mergeCell ref="U231:W231"/>
    <mergeCell ref="U232:W232"/>
    <mergeCell ref="AG218:AH218"/>
    <mergeCell ref="U219:W219"/>
    <mergeCell ref="U220:W220"/>
    <mergeCell ref="B217:D217"/>
    <mergeCell ref="E217:G217"/>
    <mergeCell ref="H217:J217"/>
    <mergeCell ref="U217:W217"/>
    <mergeCell ref="X217:Z217"/>
    <mergeCell ref="AA217:AC217"/>
    <mergeCell ref="B216:D216"/>
    <mergeCell ref="E216:G216"/>
    <mergeCell ref="H216:J216"/>
    <mergeCell ref="U216:W216"/>
    <mergeCell ref="X216:Z216"/>
    <mergeCell ref="AA216:AC216"/>
    <mergeCell ref="AD216:AF216"/>
    <mergeCell ref="AD217:AF217"/>
    <mergeCell ref="K218:N218"/>
    <mergeCell ref="U218:W218"/>
    <mergeCell ref="B213:J213"/>
    <mergeCell ref="K213:Q213"/>
    <mergeCell ref="V213:X213"/>
    <mergeCell ref="Y213:AG213"/>
    <mergeCell ref="AH213:AN213"/>
    <mergeCell ref="B215:D215"/>
    <mergeCell ref="E215:G215"/>
    <mergeCell ref="H215:J215"/>
    <mergeCell ref="L215:N215"/>
    <mergeCell ref="X215:Z215"/>
    <mergeCell ref="AA215:AC215"/>
    <mergeCell ref="AD215:AF215"/>
    <mergeCell ref="AG215:AH215"/>
    <mergeCell ref="B211:J211"/>
    <mergeCell ref="K211:Q211"/>
    <mergeCell ref="V211:X211"/>
    <mergeCell ref="Y211:AG211"/>
    <mergeCell ref="AH211:AN211"/>
    <mergeCell ref="B212:J212"/>
    <mergeCell ref="K212:Q212"/>
    <mergeCell ref="V212:X212"/>
    <mergeCell ref="Y212:AG212"/>
    <mergeCell ref="AH212:AN212"/>
    <mergeCell ref="B209:J209"/>
    <mergeCell ref="K209:Q209"/>
    <mergeCell ref="V209:X209"/>
    <mergeCell ref="Y209:AG209"/>
    <mergeCell ref="AH209:AN209"/>
    <mergeCell ref="B210:J210"/>
    <mergeCell ref="K210:Q210"/>
    <mergeCell ref="V210:X210"/>
    <mergeCell ref="Y210:AG210"/>
    <mergeCell ref="AH210:AN210"/>
    <mergeCell ref="A204:E204"/>
    <mergeCell ref="V204:AB204"/>
    <mergeCell ref="A205:E205"/>
    <mergeCell ref="V205:AB205"/>
    <mergeCell ref="A208:J208"/>
    <mergeCell ref="V208:AG208"/>
    <mergeCell ref="AC202:AF202"/>
    <mergeCell ref="AG202:AI202"/>
    <mergeCell ref="A203:E203"/>
    <mergeCell ref="F203:N203"/>
    <mergeCell ref="U203:AA203"/>
    <mergeCell ref="AC203:AI203"/>
    <mergeCell ref="A200:E200"/>
    <mergeCell ref="J200:Q200"/>
    <mergeCell ref="V200:AB200"/>
    <mergeCell ref="A202:D202"/>
    <mergeCell ref="F202:I202"/>
    <mergeCell ref="J202:N202"/>
    <mergeCell ref="U202:AB202"/>
    <mergeCell ref="J198:Q198"/>
    <mergeCell ref="AG198:AK198"/>
    <mergeCell ref="A199:E199"/>
    <mergeCell ref="F199:I199"/>
    <mergeCell ref="J199:Q199"/>
    <mergeCell ref="V199:AB199"/>
    <mergeCell ref="AC199:AF199"/>
    <mergeCell ref="AG199:AK199"/>
    <mergeCell ref="A195:E195"/>
    <mergeCell ref="V195:AB195"/>
    <mergeCell ref="A196:E196"/>
    <mergeCell ref="V196:AB196"/>
    <mergeCell ref="F197:I197"/>
    <mergeCell ref="AC197:AF197"/>
    <mergeCell ref="A193:E193"/>
    <mergeCell ref="F193:N193"/>
    <mergeCell ref="U193:AA193"/>
    <mergeCell ref="AC193:AI193"/>
    <mergeCell ref="A194:E194"/>
    <mergeCell ref="F194:I194"/>
    <mergeCell ref="J194:N194"/>
    <mergeCell ref="U194:AA194"/>
    <mergeCell ref="AC194:AF194"/>
    <mergeCell ref="AG194:AI194"/>
    <mergeCell ref="A188:P188"/>
    <mergeCell ref="S188:AG188"/>
    <mergeCell ref="A190:E190"/>
    <mergeCell ref="V190:AB190"/>
    <mergeCell ref="A191:E191"/>
    <mergeCell ref="V191:AB191"/>
    <mergeCell ref="AL180:AO180"/>
    <mergeCell ref="A182:AQ182"/>
    <mergeCell ref="A183:AR183"/>
    <mergeCell ref="A184:AR184"/>
    <mergeCell ref="A185:AR185"/>
    <mergeCell ref="A186:L186"/>
    <mergeCell ref="B179:G179"/>
    <mergeCell ref="H179:K179"/>
    <mergeCell ref="L179:Q179"/>
    <mergeCell ref="R179:U179"/>
    <mergeCell ref="V179:AA179"/>
    <mergeCell ref="AB179:AE179"/>
    <mergeCell ref="AF179:AK179"/>
    <mergeCell ref="AL179:AO179"/>
    <mergeCell ref="B180:G180"/>
    <mergeCell ref="H180:K180"/>
    <mergeCell ref="L180:Q180"/>
    <mergeCell ref="R180:U180"/>
    <mergeCell ref="V180:AA180"/>
    <mergeCell ref="AB180:AE180"/>
    <mergeCell ref="AF180:AK180"/>
    <mergeCell ref="A175:AR175"/>
    <mergeCell ref="A176:AQ176"/>
    <mergeCell ref="A177:A178"/>
    <mergeCell ref="B177:K177"/>
    <mergeCell ref="L177:U177"/>
    <mergeCell ref="V177:AE177"/>
    <mergeCell ref="AF177:AO177"/>
    <mergeCell ref="B178:G178"/>
    <mergeCell ref="H178:K178"/>
    <mergeCell ref="L178:Q178"/>
    <mergeCell ref="R178:U178"/>
    <mergeCell ref="V178:AA178"/>
    <mergeCell ref="AB178:AE178"/>
    <mergeCell ref="AF178:AK178"/>
    <mergeCell ref="AL178:AO178"/>
    <mergeCell ref="AD108:AF108"/>
    <mergeCell ref="AH142:AL142"/>
    <mergeCell ref="A174:AM174"/>
    <mergeCell ref="AN174:AQ174"/>
    <mergeCell ref="X107:Z107"/>
    <mergeCell ref="AA107:AC107"/>
    <mergeCell ref="AD107:AF107"/>
    <mergeCell ref="B108:D108"/>
    <mergeCell ref="E108:G108"/>
    <mergeCell ref="H108:J108"/>
    <mergeCell ref="L108:N108"/>
    <mergeCell ref="O108:Q108"/>
    <mergeCell ref="R108:T108"/>
    <mergeCell ref="U108:W108"/>
    <mergeCell ref="B107:D107"/>
    <mergeCell ref="E107:G107"/>
    <mergeCell ref="H107:J107"/>
    <mergeCell ref="L107:N107"/>
    <mergeCell ref="O107:Q107"/>
    <mergeCell ref="R107:T107"/>
    <mergeCell ref="U107:W107"/>
    <mergeCell ref="X108:Z108"/>
    <mergeCell ref="AA108:AC108"/>
    <mergeCell ref="E106:G106"/>
    <mergeCell ref="H106:J106"/>
    <mergeCell ref="L106:N106"/>
    <mergeCell ref="O106:Q106"/>
    <mergeCell ref="R106:T106"/>
    <mergeCell ref="U106:W106"/>
    <mergeCell ref="X106:Z106"/>
    <mergeCell ref="AA106:AC106"/>
    <mergeCell ref="AD106:AF106"/>
    <mergeCell ref="B103:AJ103"/>
    <mergeCell ref="B104:D104"/>
    <mergeCell ref="E104:G104"/>
    <mergeCell ref="H104:J104"/>
    <mergeCell ref="K104:K114"/>
    <mergeCell ref="L104:N104"/>
    <mergeCell ref="O104:Q104"/>
    <mergeCell ref="R104:T104"/>
    <mergeCell ref="U104:W104"/>
    <mergeCell ref="X104:Z104"/>
    <mergeCell ref="AA104:AC104"/>
    <mergeCell ref="AD104:AF104"/>
    <mergeCell ref="AG104:AR107"/>
    <mergeCell ref="B105:D105"/>
    <mergeCell ref="E105:G105"/>
    <mergeCell ref="H105:J105"/>
    <mergeCell ref="L105:N105"/>
    <mergeCell ref="O105:Q105"/>
    <mergeCell ref="R105:T105"/>
    <mergeCell ref="U105:W105"/>
    <mergeCell ref="X105:Z105"/>
    <mergeCell ref="AA105:AC105"/>
    <mergeCell ref="AD105:AF105"/>
    <mergeCell ref="B106:D106"/>
    <mergeCell ref="AA101:AC102"/>
    <mergeCell ref="AD101:AF102"/>
    <mergeCell ref="AG101:AG102"/>
    <mergeCell ref="AH101:AH102"/>
    <mergeCell ref="AI101:AJ102"/>
    <mergeCell ref="B102:D102"/>
    <mergeCell ref="E102:L102"/>
    <mergeCell ref="A101:A102"/>
    <mergeCell ref="B101:D101"/>
    <mergeCell ref="E101:L101"/>
    <mergeCell ref="M101:Q102"/>
    <mergeCell ref="S101:W102"/>
    <mergeCell ref="X101:Z102"/>
    <mergeCell ref="AG99:AG100"/>
    <mergeCell ref="AH99:AH100"/>
    <mergeCell ref="AI99:AJ100"/>
    <mergeCell ref="B100:D100"/>
    <mergeCell ref="E100:L100"/>
    <mergeCell ref="AI97:AJ98"/>
    <mergeCell ref="B98:D98"/>
    <mergeCell ref="E98:L98"/>
    <mergeCell ref="AD97:AF98"/>
    <mergeCell ref="AG97:AG98"/>
    <mergeCell ref="AH97:AH98"/>
    <mergeCell ref="A97:A98"/>
    <mergeCell ref="B97:D97"/>
    <mergeCell ref="E97:L97"/>
    <mergeCell ref="M97:Q98"/>
    <mergeCell ref="X95:Z96"/>
    <mergeCell ref="AA95:AC96"/>
    <mergeCell ref="AD95:AF96"/>
    <mergeCell ref="A99:A100"/>
    <mergeCell ref="B99:D99"/>
    <mergeCell ref="E99:L99"/>
    <mergeCell ref="M99:Q100"/>
    <mergeCell ref="S99:W100"/>
    <mergeCell ref="X99:Z100"/>
    <mergeCell ref="AA99:AC100"/>
    <mergeCell ref="S97:W98"/>
    <mergeCell ref="X97:Z98"/>
    <mergeCell ref="AA97:AC98"/>
    <mergeCell ref="AD99:AF100"/>
    <mergeCell ref="AH93:AH94"/>
    <mergeCell ref="AI93:AJ94"/>
    <mergeCell ref="B94:D94"/>
    <mergeCell ref="E94:L94"/>
    <mergeCell ref="A95:A96"/>
    <mergeCell ref="B95:D95"/>
    <mergeCell ref="E95:L95"/>
    <mergeCell ref="M95:Q96"/>
    <mergeCell ref="S95:W96"/>
    <mergeCell ref="B96:D96"/>
    <mergeCell ref="E96:L96"/>
    <mergeCell ref="A90:AR90"/>
    <mergeCell ref="C91:H91"/>
    <mergeCell ref="I91:J91"/>
    <mergeCell ref="K91:AJ91"/>
    <mergeCell ref="B92:L92"/>
    <mergeCell ref="M92:Q92"/>
    <mergeCell ref="R92:R102"/>
    <mergeCell ref="S92:W92"/>
    <mergeCell ref="X92:Z92"/>
    <mergeCell ref="AA92:AC92"/>
    <mergeCell ref="AD92:AF92"/>
    <mergeCell ref="AI92:AJ92"/>
    <mergeCell ref="A93:A94"/>
    <mergeCell ref="B93:D93"/>
    <mergeCell ref="E93:L93"/>
    <mergeCell ref="M93:Q94"/>
    <mergeCell ref="S93:W94"/>
    <mergeCell ref="X93:Z94"/>
    <mergeCell ref="AA93:AC94"/>
    <mergeCell ref="AD93:AF94"/>
    <mergeCell ref="AG95:AG96"/>
    <mergeCell ref="AH95:AH96"/>
    <mergeCell ref="AI95:AJ96"/>
    <mergeCell ref="AG93:AG94"/>
    <mergeCell ref="AD23:AF23"/>
    <mergeCell ref="AH57:AL57"/>
    <mergeCell ref="A89:AM89"/>
    <mergeCell ref="AN89:AQ89"/>
    <mergeCell ref="X22:Z22"/>
    <mergeCell ref="AA22:AC22"/>
    <mergeCell ref="AD22:AF22"/>
    <mergeCell ref="B23:D23"/>
    <mergeCell ref="E23:G23"/>
    <mergeCell ref="H23:J23"/>
    <mergeCell ref="L23:N23"/>
    <mergeCell ref="O23:Q23"/>
    <mergeCell ref="R23:T23"/>
    <mergeCell ref="U23:W23"/>
    <mergeCell ref="B22:D22"/>
    <mergeCell ref="E22:G22"/>
    <mergeCell ref="H22:J22"/>
    <mergeCell ref="L22:N22"/>
    <mergeCell ref="O22:Q22"/>
    <mergeCell ref="R22:T22"/>
    <mergeCell ref="U22:W22"/>
    <mergeCell ref="X23:Z23"/>
    <mergeCell ref="AA23:AC23"/>
    <mergeCell ref="O20:Q20"/>
    <mergeCell ref="R20:T20"/>
    <mergeCell ref="U20:W20"/>
    <mergeCell ref="X20:Z20"/>
    <mergeCell ref="AA20:AC20"/>
    <mergeCell ref="AD20:AF20"/>
    <mergeCell ref="B21:D21"/>
    <mergeCell ref="E21:G21"/>
    <mergeCell ref="H21:J21"/>
    <mergeCell ref="L21:N21"/>
    <mergeCell ref="O21:Q21"/>
    <mergeCell ref="R21:T21"/>
    <mergeCell ref="U21:W21"/>
    <mergeCell ref="X21:Z21"/>
    <mergeCell ref="AA21:AC21"/>
    <mergeCell ref="AD21:AF21"/>
    <mergeCell ref="AI16:AJ17"/>
    <mergeCell ref="B17:D17"/>
    <mergeCell ref="E17:L17"/>
    <mergeCell ref="AH14:AH15"/>
    <mergeCell ref="AI14:AJ15"/>
    <mergeCell ref="B15:D15"/>
    <mergeCell ref="E15:L15"/>
    <mergeCell ref="B18:AJ18"/>
    <mergeCell ref="B19:D19"/>
    <mergeCell ref="E19:G19"/>
    <mergeCell ref="H19:J19"/>
    <mergeCell ref="K19:K29"/>
    <mergeCell ref="L19:N19"/>
    <mergeCell ref="O19:Q19"/>
    <mergeCell ref="R19:T19"/>
    <mergeCell ref="U19:W19"/>
    <mergeCell ref="X19:Z19"/>
    <mergeCell ref="AA19:AC19"/>
    <mergeCell ref="AD19:AF19"/>
    <mergeCell ref="AG19:AR22"/>
    <mergeCell ref="B20:D20"/>
    <mergeCell ref="E20:G20"/>
    <mergeCell ref="H20:J20"/>
    <mergeCell ref="L20:N20"/>
    <mergeCell ref="AT13:AY14"/>
    <mergeCell ref="A14:A15"/>
    <mergeCell ref="B14:D14"/>
    <mergeCell ref="E14:L14"/>
    <mergeCell ref="M14:Q15"/>
    <mergeCell ref="S14:W15"/>
    <mergeCell ref="X14:Z15"/>
    <mergeCell ref="AA14:AC15"/>
    <mergeCell ref="AD14:AF15"/>
    <mergeCell ref="AG14:AG15"/>
    <mergeCell ref="AA12:AC13"/>
    <mergeCell ref="AD12:AF13"/>
    <mergeCell ref="AG12:AG13"/>
    <mergeCell ref="AH12:AH13"/>
    <mergeCell ref="AI12:AJ13"/>
    <mergeCell ref="B13:D13"/>
    <mergeCell ref="E13:L13"/>
    <mergeCell ref="A12:A13"/>
    <mergeCell ref="AA10:AC11"/>
    <mergeCell ref="AD10:AF11"/>
    <mergeCell ref="AG10:AG11"/>
    <mergeCell ref="AH10:AH11"/>
    <mergeCell ref="A16:A17"/>
    <mergeCell ref="B16:D16"/>
    <mergeCell ref="E16:L16"/>
    <mergeCell ref="M16:Q17"/>
    <mergeCell ref="S16:W17"/>
    <mergeCell ref="X16:Z17"/>
    <mergeCell ref="AA16:AC17"/>
    <mergeCell ref="AD16:AF17"/>
    <mergeCell ref="AG16:AG17"/>
    <mergeCell ref="AH16:AH17"/>
    <mergeCell ref="A10:A11"/>
    <mergeCell ref="B10:D10"/>
    <mergeCell ref="E10:L10"/>
    <mergeCell ref="M10:Q11"/>
    <mergeCell ref="S10:W11"/>
    <mergeCell ref="X10:Z11"/>
    <mergeCell ref="B12:D12"/>
    <mergeCell ref="E12:L12"/>
    <mergeCell ref="M12:Q13"/>
    <mergeCell ref="S12:W13"/>
    <mergeCell ref="X12:Z13"/>
    <mergeCell ref="B7:L7"/>
    <mergeCell ref="M7:Q7"/>
    <mergeCell ref="R7:R17"/>
    <mergeCell ref="S7:W7"/>
    <mergeCell ref="X7:Z7"/>
    <mergeCell ref="AA7:AC7"/>
    <mergeCell ref="AD7:AF7"/>
    <mergeCell ref="AI7:AJ7"/>
    <mergeCell ref="A8:A9"/>
    <mergeCell ref="B8:D8"/>
    <mergeCell ref="E8:L8"/>
    <mergeCell ref="M8:Q9"/>
    <mergeCell ref="S8:W9"/>
    <mergeCell ref="X8:Z9"/>
    <mergeCell ref="AA8:AC9"/>
    <mergeCell ref="AD8:AF9"/>
    <mergeCell ref="AG8:AG9"/>
    <mergeCell ref="AI10:AJ11"/>
    <mergeCell ref="B11:D11"/>
    <mergeCell ref="E11:L11"/>
    <mergeCell ref="AH8:AH9"/>
    <mergeCell ref="AI8:AJ9"/>
    <mergeCell ref="B9:D9"/>
    <mergeCell ref="E9:L9"/>
    <mergeCell ref="B5:J5"/>
    <mergeCell ref="L5:AF5"/>
    <mergeCell ref="B3:C3"/>
    <mergeCell ref="D3:L3"/>
    <mergeCell ref="M3:P3"/>
    <mergeCell ref="Q3:U3"/>
    <mergeCell ref="V3:AA3"/>
    <mergeCell ref="AC3:AD3"/>
    <mergeCell ref="C6:H6"/>
    <mergeCell ref="I6:J6"/>
    <mergeCell ref="K6:AJ6"/>
    <mergeCell ref="A1:AF1"/>
    <mergeCell ref="AT1:AW1"/>
    <mergeCell ref="AX1:AY1"/>
    <mergeCell ref="J2:U2"/>
    <mergeCell ref="V2:X2"/>
    <mergeCell ref="Y2:AF2"/>
    <mergeCell ref="AE3:AF3"/>
    <mergeCell ref="H4:N4"/>
    <mergeCell ref="O4:U4"/>
    <mergeCell ref="V4:Z4"/>
    <mergeCell ref="AA4:AF4"/>
  </mergeCells>
  <conditionalFormatting sqref="A8 A93">
    <cfRule type="expression" dxfId="2150" priority="1" stopIfTrue="1">
      <formula>IF(AL9&gt;0,0,1)</formula>
    </cfRule>
  </conditionalFormatting>
  <conditionalFormatting sqref="A10:A11 A95:A96">
    <cfRule type="expression" dxfId="2149" priority="2" stopIfTrue="1">
      <formula>IF(AL9&gt;1,0,1)</formula>
    </cfRule>
  </conditionalFormatting>
  <conditionalFormatting sqref="A12:A13 A97:A98">
    <cfRule type="expression" dxfId="2148" priority="3" stopIfTrue="1">
      <formula>IF(AL9&gt;2,0,1)</formula>
    </cfRule>
  </conditionalFormatting>
  <conditionalFormatting sqref="A14:A15 A99:A100">
    <cfRule type="expression" dxfId="2147" priority="4" stopIfTrue="1">
      <formula>IF(AL9&gt;3,0,1)</formula>
    </cfRule>
  </conditionalFormatting>
  <conditionalFormatting sqref="A16:A17 A101:A102">
    <cfRule type="expression" dxfId="2146" priority="5" stopIfTrue="1">
      <formula>IF(AL9&gt;4,0,1)</formula>
    </cfRule>
  </conditionalFormatting>
  <conditionalFormatting sqref="B8 B93">
    <cfRule type="expression" dxfId="2145" priority="6" stopIfTrue="1">
      <formula>IF(AL9&gt;0,0,1)</formula>
    </cfRule>
  </conditionalFormatting>
  <conditionalFormatting sqref="B9 B94">
    <cfRule type="expression" dxfId="2144" priority="7" stopIfTrue="1">
      <formula>IF(AL9&gt;0,0,1)</formula>
    </cfRule>
  </conditionalFormatting>
  <conditionalFormatting sqref="B10 B95">
    <cfRule type="expression" dxfId="2143" priority="8" stopIfTrue="1">
      <formula>IF(AL9&gt;1,0,1)</formula>
    </cfRule>
  </conditionalFormatting>
  <conditionalFormatting sqref="B11:D11 B96:D96">
    <cfRule type="expression" dxfId="2142" priority="9" stopIfTrue="1">
      <formula>IF(AL9&gt;1,0,1)</formula>
    </cfRule>
  </conditionalFormatting>
  <conditionalFormatting sqref="B12:D12 B97:D97">
    <cfRule type="expression" dxfId="2141" priority="10" stopIfTrue="1">
      <formula>IF(AL9&gt;2,0,1)</formula>
    </cfRule>
  </conditionalFormatting>
  <conditionalFormatting sqref="B13:D13 B98:D98">
    <cfRule type="expression" dxfId="2140" priority="11" stopIfTrue="1">
      <formula>IF(AL9&gt;2,0,1)</formula>
    </cfRule>
  </conditionalFormatting>
  <conditionalFormatting sqref="B14:D14 B99:D99">
    <cfRule type="expression" dxfId="2139" priority="12" stopIfTrue="1">
      <formula>IF(AL9&gt;3,0,1)</formula>
    </cfRule>
  </conditionalFormatting>
  <conditionalFormatting sqref="B15:D15 B100:D100">
    <cfRule type="expression" dxfId="2138" priority="13" stopIfTrue="1">
      <formula>IF(AL9&gt;3,0,1)</formula>
    </cfRule>
  </conditionalFormatting>
  <conditionalFormatting sqref="B16:D16 B101:D101">
    <cfRule type="expression" dxfId="2137" priority="14" stopIfTrue="1">
      <formula>IF(AL9&gt;4,0,1)</formula>
    </cfRule>
  </conditionalFormatting>
  <conditionalFormatting sqref="B17:D17 B102:D102">
    <cfRule type="expression" dxfId="2136" priority="15" stopIfTrue="1">
      <formula>IF(AL9&gt;4,0,1)</formula>
    </cfRule>
  </conditionalFormatting>
  <conditionalFormatting sqref="E8 E93">
    <cfRule type="expression" dxfId="2135" priority="16" stopIfTrue="1">
      <formula>IF(AL9&gt;0,0,1)</formula>
    </cfRule>
  </conditionalFormatting>
  <conditionalFormatting sqref="E9 E94">
    <cfRule type="expression" dxfId="2134" priority="17" stopIfTrue="1">
      <formula>IF(AL9&gt;0,0,1)</formula>
    </cfRule>
  </conditionalFormatting>
  <conditionalFormatting sqref="E10 E95">
    <cfRule type="expression" dxfId="2133" priority="18" stopIfTrue="1">
      <formula>IF(AL9&gt;1,0,1)</formula>
    </cfRule>
  </conditionalFormatting>
  <conditionalFormatting sqref="E11 E96">
    <cfRule type="expression" dxfId="2132" priority="19" stopIfTrue="1">
      <formula>IF(AL9&gt;1,0,1)</formula>
    </cfRule>
  </conditionalFormatting>
  <conditionalFormatting sqref="E12 E97">
    <cfRule type="expression" dxfId="2131" priority="20" stopIfTrue="1">
      <formula>IF(AL9&gt;2,0,1)</formula>
    </cfRule>
  </conditionalFormatting>
  <conditionalFormatting sqref="E13 E98">
    <cfRule type="expression" dxfId="2130" priority="21" stopIfTrue="1">
      <formula>IF(AL9&gt;2,0,1)</formula>
    </cfRule>
  </conditionalFormatting>
  <conditionalFormatting sqref="E14 E99">
    <cfRule type="expression" dxfId="2129" priority="22" stopIfTrue="1">
      <formula>IF(AL9&gt;3,0,1)</formula>
    </cfRule>
  </conditionalFormatting>
  <conditionalFormatting sqref="E15 E100">
    <cfRule type="expression" dxfId="2128" priority="23" stopIfTrue="1">
      <formula>IF(AL9&gt;3,0,1)</formula>
    </cfRule>
  </conditionalFormatting>
  <conditionalFormatting sqref="E16 E101">
    <cfRule type="expression" dxfId="2127" priority="24" stopIfTrue="1">
      <formula>IF(AL9&gt;4,0,1)</formula>
    </cfRule>
  </conditionalFormatting>
  <conditionalFormatting sqref="E17 E102">
    <cfRule type="expression" dxfId="2126" priority="25" stopIfTrue="1">
      <formula>IF(AL9&gt;4,0,1)</formula>
    </cfRule>
  </conditionalFormatting>
  <conditionalFormatting sqref="AD8 AD93">
    <cfRule type="expression" dxfId="2125" priority="26" stopIfTrue="1">
      <formula>IF(AL11=1,IF(AL9&gt;0,0,1),1)</formula>
    </cfRule>
  </conditionalFormatting>
  <conditionalFormatting sqref="AD10:AF11 AD95:AF96">
    <cfRule type="expression" dxfId="2124" priority="27" stopIfTrue="1">
      <formula>IF(AL11=1,IF(AL9&gt;1,0,1),1)</formula>
    </cfRule>
  </conditionalFormatting>
  <conditionalFormatting sqref="AD12:AF13 AD97:AF98">
    <cfRule type="expression" dxfId="2123" priority="28" stopIfTrue="1">
      <formula>IF(AL11=1,IF(AL9&gt;2,0,1),1)</formula>
    </cfRule>
  </conditionalFormatting>
  <conditionalFormatting sqref="AD14:AF15 AD99:AF100">
    <cfRule type="expression" dxfId="2122" priority="29" stopIfTrue="1">
      <formula>IF(AL11=1,IF(AL9&gt;3,0,1),1)</formula>
    </cfRule>
  </conditionalFormatting>
  <conditionalFormatting sqref="AD16:AF17 AD101:AF102">
    <cfRule type="expression" dxfId="2121" priority="30" stopIfTrue="1">
      <formula>IF(AL11=1,IF(AL9&gt;4,0,1),1)</formula>
    </cfRule>
  </conditionalFormatting>
  <conditionalFormatting sqref="AI8 AI93">
    <cfRule type="expression" dxfId="2120" priority="31" stopIfTrue="1">
      <formula>IF(AL9&gt;0,0,1)</formula>
    </cfRule>
  </conditionalFormatting>
  <conditionalFormatting sqref="AI10:AJ11 AI95:AJ96">
    <cfRule type="expression" dxfId="2119" priority="32" stopIfTrue="1">
      <formula>IF(AL9&gt;1,0,1)</formula>
    </cfRule>
  </conditionalFormatting>
  <conditionalFormatting sqref="AI12:AJ13 AI97:AJ98">
    <cfRule type="expression" dxfId="2118" priority="33" stopIfTrue="1">
      <formula>IF(AL9&gt;2,0,1)</formula>
    </cfRule>
  </conditionalFormatting>
  <conditionalFormatting sqref="AI14:AJ15 AI99:AJ100">
    <cfRule type="expression" dxfId="2117" priority="34" stopIfTrue="1">
      <formula>IF(AL9&gt;3,0,1)</formula>
    </cfRule>
  </conditionalFormatting>
  <conditionalFormatting sqref="AI16:AJ17 AI101:AJ102">
    <cfRule type="expression" dxfId="2116" priority="35" stopIfTrue="1">
      <formula>IF(AL9&gt;4,0,1)</formula>
    </cfRule>
  </conditionalFormatting>
  <conditionalFormatting sqref="B19:D19 B104:D104">
    <cfRule type="expression" dxfId="2115" priority="36" stopIfTrue="1">
      <formula>IF(AL8&gt;0,0,1)</formula>
    </cfRule>
  </conditionalFormatting>
  <conditionalFormatting sqref="E19:G19 E104:G104">
    <cfRule type="expression" dxfId="2114" priority="37" stopIfTrue="1">
      <formula>IF(AL8&gt;1,0,1)</formula>
    </cfRule>
  </conditionalFormatting>
  <conditionalFormatting sqref="H19:J19 H104:J104">
    <cfRule type="expression" dxfId="2113" priority="38" stopIfTrue="1">
      <formula>IF(AL8&gt;2,0,1)</formula>
    </cfRule>
  </conditionalFormatting>
  <conditionalFormatting sqref="L19:N19 L104:N104">
    <cfRule type="expression" dxfId="2112" priority="39" stopIfTrue="1">
      <formula>IF(AL8&gt;3,0,1)</formula>
    </cfRule>
  </conditionalFormatting>
  <conditionalFormatting sqref="O19:Q19 O104:Q104">
    <cfRule type="expression" dxfId="2111" priority="40" stopIfTrue="1">
      <formula>IF(AL8&gt;4,0,1)</formula>
    </cfRule>
  </conditionalFormatting>
  <conditionalFormatting sqref="R19:T19 R104:T104">
    <cfRule type="expression" dxfId="2110" priority="41" stopIfTrue="1">
      <formula>IF(AL8&gt;5,0,1)</formula>
    </cfRule>
  </conditionalFormatting>
  <conditionalFormatting sqref="U19:W19 U104:W104">
    <cfRule type="expression" dxfId="2109" priority="42" stopIfTrue="1">
      <formula>IF(AL8&gt;6,0,1)</formula>
    </cfRule>
  </conditionalFormatting>
  <conditionalFormatting sqref="X19:Z19 X104:Z104">
    <cfRule type="expression" dxfId="2108" priority="43" stopIfTrue="1">
      <formula>IF(AL8&gt;7,0,1)</formula>
    </cfRule>
  </conditionalFormatting>
  <conditionalFormatting sqref="AA19:AC19 AA104:AC104">
    <cfRule type="expression" dxfId="2107" priority="44" stopIfTrue="1">
      <formula>IF(AL8&gt;8,0,1)</formula>
    </cfRule>
  </conditionalFormatting>
  <conditionalFormatting sqref="AD19:AF19 AD104:AF104">
    <cfRule type="expression" dxfId="2106" priority="45" stopIfTrue="1">
      <formula>IF(AL8&gt;9,0,1)</formula>
    </cfRule>
  </conditionalFormatting>
  <conditionalFormatting sqref="B20:D20 B105:D105">
    <cfRule type="expression" dxfId="2105" priority="46" stopIfTrue="1">
      <formula>IF(AL8&gt;0,0,1)</formula>
    </cfRule>
  </conditionalFormatting>
  <conditionalFormatting sqref="E20:G20 E105:G105">
    <cfRule type="expression" dxfId="2104" priority="47" stopIfTrue="1">
      <formula>IF(AL8&gt;1,0,1)</formula>
    </cfRule>
  </conditionalFormatting>
  <conditionalFormatting sqref="H20:J20 H105:J105">
    <cfRule type="expression" dxfId="2103" priority="48" stopIfTrue="1">
      <formula>IF(AL8&gt;2,0,1)</formula>
    </cfRule>
  </conditionalFormatting>
  <conditionalFormatting sqref="L20:N20 L105:N105">
    <cfRule type="expression" dxfId="2102" priority="49" stopIfTrue="1">
      <formula>IF(AL8&gt;3,0,1)</formula>
    </cfRule>
  </conditionalFormatting>
  <conditionalFormatting sqref="O20:Q20 O105:Q105">
    <cfRule type="expression" dxfId="2101" priority="50" stopIfTrue="1">
      <formula>IF(AL8&gt;4,0,1)</formula>
    </cfRule>
  </conditionalFormatting>
  <conditionalFormatting sqref="R20:T20 R105:T105">
    <cfRule type="expression" dxfId="2100" priority="51" stopIfTrue="1">
      <formula>IF(AL8&gt;5,0,1)</formula>
    </cfRule>
  </conditionalFormatting>
  <conditionalFormatting sqref="U20:W20 U105:W105">
    <cfRule type="expression" dxfId="2099" priority="52" stopIfTrue="1">
      <formula>IF(AL8&gt;6,0,1)</formula>
    </cfRule>
  </conditionalFormatting>
  <conditionalFormatting sqref="X20:Z20 X105:Z105">
    <cfRule type="expression" dxfId="2098" priority="53" stopIfTrue="1">
      <formula>IF(AL8&gt;7,0,1)</formula>
    </cfRule>
  </conditionalFormatting>
  <conditionalFormatting sqref="AA20:AC20 AA105:AC105">
    <cfRule type="expression" dxfId="2097" priority="54" stopIfTrue="1">
      <formula>IF(AL8&gt;8,0,1)</formula>
    </cfRule>
  </conditionalFormatting>
  <conditionalFormatting sqref="AD20:AF20 AD105:AF105">
    <cfRule type="expression" dxfId="2096" priority="55" stopIfTrue="1">
      <formula>IF(AL8&gt;9,0,1)</formula>
    </cfRule>
  </conditionalFormatting>
  <conditionalFormatting sqref="E22:G22 E107:G107">
    <cfRule type="expression" dxfId="2095" priority="56" stopIfTrue="1">
      <formula>IF(AL8&gt;1,0,1)</formula>
    </cfRule>
  </conditionalFormatting>
  <conditionalFormatting sqref="H22:J22 H107:J107">
    <cfRule type="expression" dxfId="2094" priority="57" stopIfTrue="1">
      <formula>IF(AL8&gt;2,0,1)</formula>
    </cfRule>
  </conditionalFormatting>
  <conditionalFormatting sqref="L22:N22 L107:N107">
    <cfRule type="expression" dxfId="2093" priority="58" stopIfTrue="1">
      <formula>IF(AL8&gt;3,0,1)</formula>
    </cfRule>
  </conditionalFormatting>
  <conditionalFormatting sqref="O22:Q22 O107:Q107">
    <cfRule type="expression" dxfId="2092" priority="59" stopIfTrue="1">
      <formula>IF(AL8&gt;4,0,1)</formula>
    </cfRule>
  </conditionalFormatting>
  <conditionalFormatting sqref="R22:T22 R107:T107">
    <cfRule type="expression" dxfId="2091" priority="60" stopIfTrue="1">
      <formula>IF(AL8&gt;5,0,1)</formula>
    </cfRule>
  </conditionalFormatting>
  <conditionalFormatting sqref="U22:W22 U107:W107">
    <cfRule type="expression" dxfId="2090" priority="61" stopIfTrue="1">
      <formula>IF(AL8&gt;6,0,1)</formula>
    </cfRule>
  </conditionalFormatting>
  <conditionalFormatting sqref="X22:Z22 X107:Z107">
    <cfRule type="expression" dxfId="2089" priority="62" stopIfTrue="1">
      <formula>IF(AL8&gt;7,0,1)</formula>
    </cfRule>
  </conditionalFormatting>
  <conditionalFormatting sqref="AA22:AC22 AA107:AC107">
    <cfRule type="expression" dxfId="2088" priority="63" stopIfTrue="1">
      <formula>IF(AL8&gt;8,0,1)</formula>
    </cfRule>
  </conditionalFormatting>
  <conditionalFormatting sqref="AD22:AF22 AD107:AF107">
    <cfRule type="expression" dxfId="2087" priority="64" stopIfTrue="1">
      <formula>IF(AL8&gt;9,0,1)</formula>
    </cfRule>
  </conditionalFormatting>
  <conditionalFormatting sqref="B24 B109">
    <cfRule type="expression" dxfId="2086" priority="65" stopIfTrue="1">
      <formula>IF(AL8&gt;0,0,1)</formula>
    </cfRule>
  </conditionalFormatting>
  <conditionalFormatting sqref="C24 C109">
    <cfRule type="expression" dxfId="2085" priority="66" stopIfTrue="1">
      <formula>IF(AL8&gt;0,0,1)</formula>
    </cfRule>
  </conditionalFormatting>
  <conditionalFormatting sqref="D24 D109">
    <cfRule type="expression" dxfId="2084" priority="67" stopIfTrue="1">
      <formula>IF(AL8&gt;0,0,1)</formula>
    </cfRule>
  </conditionalFormatting>
  <conditionalFormatting sqref="E23:G23 E108:G108">
    <cfRule type="expression" dxfId="2083" priority="68" stopIfTrue="1">
      <formula>IF(AL8&gt;1,0,1)</formula>
    </cfRule>
  </conditionalFormatting>
  <conditionalFormatting sqref="F24 F109">
    <cfRule type="expression" dxfId="2082" priority="69" stopIfTrue="1">
      <formula>IF(AL8&gt;1,0,1)</formula>
    </cfRule>
  </conditionalFormatting>
  <conditionalFormatting sqref="G24 G109">
    <cfRule type="expression" dxfId="2081" priority="70" stopIfTrue="1">
      <formula>IF(AL8&gt;1,0,1)</formula>
    </cfRule>
  </conditionalFormatting>
  <conditionalFormatting sqref="H23:J23 H108:J108">
    <cfRule type="expression" dxfId="2080" priority="71" stopIfTrue="1">
      <formula>IF(AL8&gt;2,0,1)</formula>
    </cfRule>
  </conditionalFormatting>
  <conditionalFormatting sqref="I24 I109">
    <cfRule type="expression" dxfId="2079" priority="72" stopIfTrue="1">
      <formula>IF(AL8&gt;2,0,1)</formula>
    </cfRule>
  </conditionalFormatting>
  <conditionalFormatting sqref="J24 J109">
    <cfRule type="expression" dxfId="2078" priority="73" stopIfTrue="1">
      <formula>IF(AL8&gt;2,0,1)</formula>
    </cfRule>
  </conditionalFormatting>
  <conditionalFormatting sqref="L23:N23 L108:N108">
    <cfRule type="expression" dxfId="2077" priority="74" stopIfTrue="1">
      <formula>IF(AL8&gt;3,0,1)</formula>
    </cfRule>
  </conditionalFormatting>
  <conditionalFormatting sqref="M24 M109">
    <cfRule type="expression" dxfId="2076" priority="75" stopIfTrue="1">
      <formula>IF(AL8&gt;3,0,1)</formula>
    </cfRule>
  </conditionalFormatting>
  <conditionalFormatting sqref="N24 N109">
    <cfRule type="expression" dxfId="2075" priority="76" stopIfTrue="1">
      <formula>IF(AL8&gt;3,0,1)</formula>
    </cfRule>
  </conditionalFormatting>
  <conditionalFormatting sqref="O23:Q23 O108:Q108">
    <cfRule type="expression" dxfId="2074" priority="77" stopIfTrue="1">
      <formula>IF(AL8&gt;4,0,1)</formula>
    </cfRule>
  </conditionalFormatting>
  <conditionalFormatting sqref="P24 P109">
    <cfRule type="expression" dxfId="2073" priority="78" stopIfTrue="1">
      <formula>IF(AL8&gt;4,0,1)</formula>
    </cfRule>
  </conditionalFormatting>
  <conditionalFormatting sqref="Q24 Q109">
    <cfRule type="expression" dxfId="2072" priority="79" stopIfTrue="1">
      <formula>IF(AL8&gt;4,0,1)</formula>
    </cfRule>
  </conditionalFormatting>
  <conditionalFormatting sqref="R23:T23 R108:T108">
    <cfRule type="expression" dxfId="2071" priority="80" stopIfTrue="1">
      <formula>IF(AL8&gt;5,0,1)</formula>
    </cfRule>
  </conditionalFormatting>
  <conditionalFormatting sqref="S24 S109">
    <cfRule type="expression" dxfId="2070" priority="81" stopIfTrue="1">
      <formula>IF(AL8&gt;5,0,1)</formula>
    </cfRule>
  </conditionalFormatting>
  <conditionalFormatting sqref="T24 T109">
    <cfRule type="expression" dxfId="2069" priority="82" stopIfTrue="1">
      <formula>IF(AL8&gt;5,0,1)</formula>
    </cfRule>
  </conditionalFormatting>
  <conditionalFormatting sqref="U23:W23 U108:W108">
    <cfRule type="expression" dxfId="2068" priority="83" stopIfTrue="1">
      <formula>IF(AL8&gt;6,0,1)</formula>
    </cfRule>
  </conditionalFormatting>
  <conditionalFormatting sqref="V24 V109">
    <cfRule type="expression" dxfId="2067" priority="84" stopIfTrue="1">
      <formula>IF(AL8&gt;6,0,1)</formula>
    </cfRule>
  </conditionalFormatting>
  <conditionalFormatting sqref="W24 W109">
    <cfRule type="expression" dxfId="2066" priority="85" stopIfTrue="1">
      <formula>IF(AL8&gt;6,0,1)</formula>
    </cfRule>
  </conditionalFormatting>
  <conditionalFormatting sqref="X23:Z23 X108:Z108">
    <cfRule type="expression" dxfId="2065" priority="86" stopIfTrue="1">
      <formula>IF(AL8&gt;7,0,1)</formula>
    </cfRule>
  </conditionalFormatting>
  <conditionalFormatting sqref="Y24 Y109">
    <cfRule type="expression" dxfId="2064" priority="87" stopIfTrue="1">
      <formula>IF(AL8&gt;7,0,1)</formula>
    </cfRule>
  </conditionalFormatting>
  <conditionalFormatting sqref="Z24 Z109">
    <cfRule type="expression" dxfId="2063" priority="88" stopIfTrue="1">
      <formula>IF(AL8&gt;7,0,1)</formula>
    </cfRule>
  </conditionalFormatting>
  <conditionalFormatting sqref="AA23:AC23 AA108:AC108">
    <cfRule type="expression" dxfId="2062" priority="89" stopIfTrue="1">
      <formula>IF(AL8&gt;8,0,1)</formula>
    </cfRule>
  </conditionalFormatting>
  <conditionalFormatting sqref="AB24 AB109">
    <cfRule type="expression" dxfId="2061" priority="90" stopIfTrue="1">
      <formula>IF(AL8&gt;8,0,1)</formula>
    </cfRule>
  </conditionalFormatting>
  <conditionalFormatting sqref="AC24 AC109">
    <cfRule type="expression" dxfId="2060" priority="91" stopIfTrue="1">
      <formula>IF(AL8&gt;8,0,1)</formula>
    </cfRule>
  </conditionalFormatting>
  <conditionalFormatting sqref="AD23:AF23 AD108:AF108">
    <cfRule type="expression" dxfId="2059" priority="92" stopIfTrue="1">
      <formula>IF(AL8&gt;9,0,1)</formula>
    </cfRule>
  </conditionalFormatting>
  <conditionalFormatting sqref="AE24 AE109">
    <cfRule type="expression" dxfId="2058" priority="93" stopIfTrue="1">
      <formula>IF(AL8&gt;9,0,1)</formula>
    </cfRule>
  </conditionalFormatting>
  <conditionalFormatting sqref="AF24 AF109">
    <cfRule type="expression" dxfId="2057" priority="94" stopIfTrue="1">
      <formula>IF(AL8&gt;9,0,1)</formula>
    </cfRule>
  </conditionalFormatting>
  <conditionalFormatting sqref="A26 A111">
    <cfRule type="expression" dxfId="2056" priority="95" stopIfTrue="1">
      <formula>IF(AL7&gt;1,0,1)</formula>
    </cfRule>
  </conditionalFormatting>
  <conditionalFormatting sqref="A27 A112">
    <cfRule type="expression" dxfId="2055" priority="96" stopIfTrue="1">
      <formula>IF(AL7&gt;2,0,1)</formula>
    </cfRule>
  </conditionalFormatting>
  <conditionalFormatting sqref="A28 A113">
    <cfRule type="expression" dxfId="2054" priority="97" stopIfTrue="1">
      <formula>IF(AL7&gt;3,0,1)</formula>
    </cfRule>
  </conditionalFormatting>
  <conditionalFormatting sqref="A29 A114">
    <cfRule type="expression" dxfId="2053" priority="98" stopIfTrue="1">
      <formula>IF(AL7&gt;4,0,1)</formula>
    </cfRule>
  </conditionalFormatting>
  <conditionalFormatting sqref="B25:D25 B110:D110">
    <cfRule type="expression" dxfId="2052" priority="99" stopIfTrue="1">
      <formula>IF($AL8&gt;0,0,1)</formula>
    </cfRule>
  </conditionalFormatting>
  <conditionalFormatting sqref="B26:D26 B111:D111">
    <cfRule type="expression" dxfId="2051" priority="100" stopIfTrue="1">
      <formula>IF($AL8&lt;1,1,IF($AL7&lt;2,1,0))</formula>
    </cfRule>
  </conditionalFormatting>
  <conditionalFormatting sqref="B27:D27 B112:D112">
    <cfRule type="expression" dxfId="2050" priority="101" stopIfTrue="1">
      <formula>IF($AL8&lt;1,1,IF($AL7&lt;3,1,0))</formula>
    </cfRule>
  </conditionalFormatting>
  <conditionalFormatting sqref="B28:D28 B113:D113">
    <cfRule type="expression" dxfId="2049" priority="102" stopIfTrue="1">
      <formula>IF($AL8&lt;1,1,IF($AL7&lt;4,1,0))</formula>
    </cfRule>
  </conditionalFormatting>
  <conditionalFormatting sqref="B29:D29 B114:D114">
    <cfRule type="expression" dxfId="2048" priority="103" stopIfTrue="1">
      <formula>IF($AL8&lt;1,1,IF($AL7&lt;5,1,0))</formula>
    </cfRule>
  </conditionalFormatting>
  <conditionalFormatting sqref="AG26 AG111">
    <cfRule type="expression" dxfId="2047" priority="104" stopIfTrue="1">
      <formula>IF($AL9&gt;2,0,1)</formula>
    </cfRule>
  </conditionalFormatting>
  <conditionalFormatting sqref="AG25 AG110">
    <cfRule type="expression" dxfId="2046" priority="105" stopIfTrue="1">
      <formula>IF($AL9&gt;1,0,1)</formula>
    </cfRule>
  </conditionalFormatting>
  <conditionalFormatting sqref="AG24 AG109">
    <cfRule type="expression" dxfId="2045" priority="106" stopIfTrue="1">
      <formula>IF($AL9&gt;0,0,1)</formula>
    </cfRule>
  </conditionalFormatting>
  <conditionalFormatting sqref="AG27 AG112">
    <cfRule type="expression" dxfId="2044" priority="107" stopIfTrue="1">
      <formula>IF($AL9&gt;3,0,1)</formula>
    </cfRule>
  </conditionalFormatting>
  <conditionalFormatting sqref="AG28 AG113">
    <cfRule type="expression" dxfId="2043" priority="108" stopIfTrue="1">
      <formula>IF($AL9&gt;4,0,1)</formula>
    </cfRule>
  </conditionalFormatting>
  <conditionalFormatting sqref="AH23 AH108">
    <cfRule type="expression" dxfId="2042" priority="109" stopIfTrue="1">
      <formula>IF($AL8&lt;1,1,0)</formula>
    </cfRule>
  </conditionalFormatting>
  <conditionalFormatting sqref="AI23 AI108">
    <cfRule type="expression" dxfId="2041" priority="110" stopIfTrue="1">
      <formula>IF($AL8&lt;2,1,0)</formula>
    </cfRule>
  </conditionalFormatting>
  <conditionalFormatting sqref="AJ23 AJ108">
    <cfRule type="expression" dxfId="2040" priority="111" stopIfTrue="1">
      <formula>IF($AL8&lt;3,1,0)</formula>
    </cfRule>
  </conditionalFormatting>
  <conditionalFormatting sqref="AK23 AK108">
    <cfRule type="expression" dxfId="2039" priority="112" stopIfTrue="1">
      <formula>IF($AL8&lt;4,1,0)</formula>
    </cfRule>
  </conditionalFormatting>
  <conditionalFormatting sqref="AL23 AL108">
    <cfRule type="expression" dxfId="2038" priority="113" stopIfTrue="1">
      <formula>IF($AL8&lt;5,1,0)</formula>
    </cfRule>
  </conditionalFormatting>
  <conditionalFormatting sqref="AM23 AM108">
    <cfRule type="expression" dxfId="2037" priority="114" stopIfTrue="1">
      <formula>IF($AL8&lt;6,1,0)</formula>
    </cfRule>
  </conditionalFormatting>
  <conditionalFormatting sqref="AN23 AN108">
    <cfRule type="expression" dxfId="2036" priority="115" stopIfTrue="1">
      <formula>IF($AL8&lt;7,1,0)</formula>
    </cfRule>
  </conditionalFormatting>
  <conditionalFormatting sqref="AO23 AO108">
    <cfRule type="expression" dxfId="2035" priority="116" stopIfTrue="1">
      <formula>IF($AL8&lt;8,1,0)</formula>
    </cfRule>
  </conditionalFormatting>
  <conditionalFormatting sqref="AP23 AP108">
    <cfRule type="expression" dxfId="2034" priority="117" stopIfTrue="1">
      <formula>IF($AL8&lt;9,1,0)</formula>
    </cfRule>
  </conditionalFormatting>
  <conditionalFormatting sqref="AQ23 AQ108">
    <cfRule type="expression" dxfId="2033" priority="118" stopIfTrue="1">
      <formula>IF($AL8&lt;10,1,0)</formula>
    </cfRule>
  </conditionalFormatting>
  <conditionalFormatting sqref="AR24 AR109">
    <cfRule type="expression" dxfId="2032" priority="119" stopIfTrue="1">
      <formula>IF($AL9&gt;0,0,1)</formula>
    </cfRule>
  </conditionalFormatting>
  <conditionalFormatting sqref="AR25 AR110">
    <cfRule type="expression" dxfId="2031" priority="120" stopIfTrue="1">
      <formula>IF($AL9&gt;1,0,1)</formula>
    </cfRule>
  </conditionalFormatting>
  <conditionalFormatting sqref="AR26 H25:J25 AR111 H110:J110">
    <cfRule type="expression" dxfId="2030" priority="121" stopIfTrue="1">
      <formula>IF($AL8&gt;2,0,1)</formula>
    </cfRule>
  </conditionalFormatting>
  <conditionalFormatting sqref="L25:N25 L110:N110">
    <cfRule type="expression" dxfId="2029" priority="122" stopIfTrue="1">
      <formula>IF($AL8&gt;3,0,1)</formula>
    </cfRule>
  </conditionalFormatting>
  <conditionalFormatting sqref="AR28 AR113">
    <cfRule type="expression" dxfId="2028" priority="123" stopIfTrue="1">
      <formula>IF($AL9&gt;4,0,1)</formula>
    </cfRule>
  </conditionalFormatting>
  <conditionalFormatting sqref="E26:G26 E111:G111">
    <cfRule type="expression" dxfId="2027" priority="124" stopIfTrue="1">
      <formula>IF($AL8&lt;2,1,IF($AL7&lt;2,1,0))</formula>
    </cfRule>
  </conditionalFormatting>
  <conditionalFormatting sqref="E27:G27 E112:G112">
    <cfRule type="expression" dxfId="2026" priority="125" stopIfTrue="1">
      <formula>IF($AL8&lt;2,1,IF($AL7&lt;3,1,0))</formula>
    </cfRule>
  </conditionalFormatting>
  <conditionalFormatting sqref="E28:G28 E113:G113">
    <cfRule type="expression" dxfId="2025" priority="126" stopIfTrue="1">
      <formula>IF($AL8&lt;2,1,IF($AL7&lt;4,1,0))</formula>
    </cfRule>
  </conditionalFormatting>
  <conditionalFormatting sqref="E29:G29 E114:G114">
    <cfRule type="expression" dxfId="2024" priority="127" stopIfTrue="1">
      <formula>IF($AL8&lt;2,1,IF($AL7&lt;5,1,0))</formula>
    </cfRule>
  </conditionalFormatting>
  <conditionalFormatting sqref="O25:Q25 O110:Q110">
    <cfRule type="expression" dxfId="2023" priority="128" stopIfTrue="1">
      <formula>IF($AL8&gt;4,0,1)</formula>
    </cfRule>
  </conditionalFormatting>
  <conditionalFormatting sqref="R25:T25 R110:T110">
    <cfRule type="expression" dxfId="2022" priority="129" stopIfTrue="1">
      <formula>IF($AL8&gt;5,0,1)</formula>
    </cfRule>
  </conditionalFormatting>
  <conditionalFormatting sqref="U25:W25 U110:W110">
    <cfRule type="expression" dxfId="2021" priority="130" stopIfTrue="1">
      <formula>IF($AL8&gt;6,0,1)</formula>
    </cfRule>
  </conditionalFormatting>
  <conditionalFormatting sqref="X25:Z25 X110:Z110">
    <cfRule type="expression" dxfId="2020" priority="131" stopIfTrue="1">
      <formula>IF($AL8&gt;7,0,1)</formula>
    </cfRule>
  </conditionalFormatting>
  <conditionalFormatting sqref="AA25:AC25 AA110:AC110">
    <cfRule type="expression" dxfId="2019" priority="132" stopIfTrue="1">
      <formula>IF($AL8&gt;8,0,1)</formula>
    </cfRule>
  </conditionalFormatting>
  <conditionalFormatting sqref="AD25:AF25 AD110:AF110">
    <cfRule type="expression" dxfId="2018" priority="133" stopIfTrue="1">
      <formula>IF($AL8&gt;9,0,1)</formula>
    </cfRule>
  </conditionalFormatting>
  <conditionalFormatting sqref="H26:J26 H111:J111">
    <cfRule type="expression" dxfId="2017" priority="134" stopIfTrue="1">
      <formula>IF($AL8&lt;3,1,IF($AL7&lt;2,1,0))</formula>
    </cfRule>
  </conditionalFormatting>
  <conditionalFormatting sqref="L26:N26 L111:N111">
    <cfRule type="expression" dxfId="2016" priority="135" stopIfTrue="1">
      <formula>IF($AL8&lt;4,1,IF($AL7&lt;2,1,0))</formula>
    </cfRule>
  </conditionalFormatting>
  <conditionalFormatting sqref="O26:Q26 O111:Q111">
    <cfRule type="expression" dxfId="2015" priority="136" stopIfTrue="1">
      <formula>IF($AL8&lt;5,1,IF($AL7&lt;2,1,0))</formula>
    </cfRule>
  </conditionalFormatting>
  <conditionalFormatting sqref="R26:T26 R111:T111">
    <cfRule type="expression" dxfId="2014" priority="137" stopIfTrue="1">
      <formula>IF($AL8&lt;6,1,IF($AL7&lt;2,1,0))</formula>
    </cfRule>
  </conditionalFormatting>
  <conditionalFormatting sqref="U26:W26 U111:W111">
    <cfRule type="expression" dxfId="2013" priority="138" stopIfTrue="1">
      <formula>IF($AL8&lt;7,1,IF($AL7&lt;2,1,0))</formula>
    </cfRule>
  </conditionalFormatting>
  <conditionalFormatting sqref="X26:Z26 X111:Z111">
    <cfRule type="expression" dxfId="2012" priority="139" stopIfTrue="1">
      <formula>IF($AL8&lt;8,1,IF($AL7&lt;2,1,0))</formula>
    </cfRule>
  </conditionalFormatting>
  <conditionalFormatting sqref="AA26:AC26 AA111:AC111">
    <cfRule type="expression" dxfId="2011" priority="140" stopIfTrue="1">
      <formula>IF($AL8&lt;9,1,IF($AL7&lt;2,1,0))</formula>
    </cfRule>
  </conditionalFormatting>
  <conditionalFormatting sqref="AD26:AF26 AD111:AF111">
    <cfRule type="expression" dxfId="2010" priority="141" stopIfTrue="1">
      <formula>IF($AL8&lt;10,1,IF($AL7&lt;2,1,0))</formula>
    </cfRule>
  </conditionalFormatting>
  <conditionalFormatting sqref="H27:J27 H112:J112">
    <cfRule type="expression" dxfId="2009" priority="142" stopIfTrue="1">
      <formula>IF($AL8&lt;3,1,IF($AL7&lt;3,1,0))</formula>
    </cfRule>
  </conditionalFormatting>
  <conditionalFormatting sqref="L27:N27 L112:N112">
    <cfRule type="expression" dxfId="2008" priority="143" stopIfTrue="1">
      <formula>IF($AL8&lt;4,1,IF($AL7&lt;3,1,0))</formula>
    </cfRule>
  </conditionalFormatting>
  <conditionalFormatting sqref="O27:Q27 O112:Q112">
    <cfRule type="expression" dxfId="2007" priority="144" stopIfTrue="1">
      <formula>IF($AL8&lt;5,1,IF($AL7&lt;3,1,0))</formula>
    </cfRule>
  </conditionalFormatting>
  <conditionalFormatting sqref="R27:T27 R112:T112">
    <cfRule type="expression" dxfId="2006" priority="145" stopIfTrue="1">
      <formula>IF($AL8&lt;6,1,IF($AL7&lt;3,1,0))</formula>
    </cfRule>
  </conditionalFormatting>
  <conditionalFormatting sqref="U27:W27 U112:W112">
    <cfRule type="expression" dxfId="2005" priority="146" stopIfTrue="1">
      <formula>IF($AL8&lt;7,1,IF($AL7&lt;3,1,0))</formula>
    </cfRule>
  </conditionalFormatting>
  <conditionalFormatting sqref="X27:Z27 X112:Z112">
    <cfRule type="expression" dxfId="2004" priority="147" stopIfTrue="1">
      <formula>IF($AL8&lt;8,1,IF($AL7&lt;3,1,0))</formula>
    </cfRule>
  </conditionalFormatting>
  <conditionalFormatting sqref="AA27:AC27 AA112:AC112">
    <cfRule type="expression" dxfId="2003" priority="148" stopIfTrue="1">
      <formula>IF($AL8&lt;9,1,IF($AL7&lt;3,1,0))</formula>
    </cfRule>
  </conditionalFormatting>
  <conditionalFormatting sqref="AD27:AF27 AD112:AF112">
    <cfRule type="expression" dxfId="2002" priority="149" stopIfTrue="1">
      <formula>IF($AL8&lt;10,1,IF($AL7&lt;3,1,0))</formula>
    </cfRule>
  </conditionalFormatting>
  <conditionalFormatting sqref="H28:J28 H113:J113">
    <cfRule type="expression" dxfId="2001" priority="150" stopIfTrue="1">
      <formula>IF($AL8&lt;3,1,IF($AL7&lt;4,1,0))</formula>
    </cfRule>
  </conditionalFormatting>
  <conditionalFormatting sqref="L28:N28 L113:N113">
    <cfRule type="expression" dxfId="2000" priority="151" stopIfTrue="1">
      <formula>IF($AL8&lt;4,1,IF($AL7&lt;4,1,0))</formula>
    </cfRule>
  </conditionalFormatting>
  <conditionalFormatting sqref="O28:Q28 O113:Q113">
    <cfRule type="expression" dxfId="1999" priority="152" stopIfTrue="1">
      <formula>IF($AL8&lt;5,1,IF($AL7&lt;4,1,0))</formula>
    </cfRule>
  </conditionalFormatting>
  <conditionalFormatting sqref="R28:T28 R113:T113">
    <cfRule type="expression" dxfId="1998" priority="153" stopIfTrue="1">
      <formula>IF($AL8&lt;6,1,IF($AL7&lt;4,1,0))</formula>
    </cfRule>
  </conditionalFormatting>
  <conditionalFormatting sqref="U28:W28 U113:W113">
    <cfRule type="expression" dxfId="1997" priority="154" stopIfTrue="1">
      <formula>IF($AL8&lt;7,1,IF($AL7&lt;4,1,0))</formula>
    </cfRule>
  </conditionalFormatting>
  <conditionalFormatting sqref="X28:Z28 X113:Z113">
    <cfRule type="expression" dxfId="1996" priority="155" stopIfTrue="1">
      <formula>IF($AL8&lt;8,1,IF($AL7&lt;4,1,0))</formula>
    </cfRule>
  </conditionalFormatting>
  <conditionalFormatting sqref="AA28:AC28 AA113:AC113">
    <cfRule type="expression" dxfId="1995" priority="156" stopIfTrue="1">
      <formula>IF($AL8&lt;9,1,IF($AL7&lt;4,1,0))</formula>
    </cfRule>
  </conditionalFormatting>
  <conditionalFormatting sqref="AD28:AF28 AD113:AF113">
    <cfRule type="expression" dxfId="1994" priority="157" stopIfTrue="1">
      <formula>IF($AL8&lt;10,1,IF($AL7&lt;4,1,0))</formula>
    </cfRule>
  </conditionalFormatting>
  <conditionalFormatting sqref="H29:J29 H114:J114">
    <cfRule type="expression" dxfId="1993" priority="158" stopIfTrue="1">
      <formula>IF($AL8&lt;3,1,IF($AL7&lt;5,1,0))</formula>
    </cfRule>
  </conditionalFormatting>
  <conditionalFormatting sqref="L29:N29 L114:N114">
    <cfRule type="expression" dxfId="1992" priority="159" stopIfTrue="1">
      <formula>IF($AL8&lt;4,1,IF($AL7&lt;5,1,0))</formula>
    </cfRule>
  </conditionalFormatting>
  <conditionalFormatting sqref="O29:Q29 O114:Q114">
    <cfRule type="expression" dxfId="1991" priority="160" stopIfTrue="1">
      <formula>IF($AL8&lt;5,1,IF($AL7&lt;5,1,0))</formula>
    </cfRule>
  </conditionalFormatting>
  <conditionalFormatting sqref="R29:T29 R114:T114">
    <cfRule type="expression" dxfId="1990" priority="161" stopIfTrue="1">
      <formula>IF($AL8&lt;6,1,IF($AL7&lt;5,1,0))</formula>
    </cfRule>
  </conditionalFormatting>
  <conditionalFormatting sqref="U29:W29 U114:W114">
    <cfRule type="expression" dxfId="1989" priority="162" stopIfTrue="1">
      <formula>IF($AL8&lt;7,1,IF($AL7&lt;5,1,0))</formula>
    </cfRule>
  </conditionalFormatting>
  <conditionalFormatting sqref="X29:Z29 X114:Z114">
    <cfRule type="expression" dxfId="1988" priority="163" stopIfTrue="1">
      <formula>IF($AL8&lt;8,1,IF($AL7&lt;5,1,0))</formula>
    </cfRule>
  </conditionalFormatting>
  <conditionalFormatting sqref="AA29:AC29 AA114:AC114">
    <cfRule type="expression" dxfId="1987" priority="164" stopIfTrue="1">
      <formula>IF($AL8&lt;9,1,IF($AL7&lt;5,1,0))</formula>
    </cfRule>
  </conditionalFormatting>
  <conditionalFormatting sqref="AD29:AF29 AD114:AF114">
    <cfRule type="expression" dxfId="1986" priority="165" stopIfTrue="1">
      <formula>IF($AL8&lt;10,1,IF($AL7&lt;5,1,0))</formula>
    </cfRule>
  </conditionalFormatting>
  <conditionalFormatting sqref="S14:AC15 M14:Q15 S99:AC100 M99:Q100 AG99:AH100 AG14:AH15">
    <cfRule type="expression" dxfId="1985" priority="166" stopIfTrue="1">
      <formula>IF($AL9&gt;3,0,1)</formula>
    </cfRule>
  </conditionalFormatting>
  <conditionalFormatting sqref="S16:AC17 M16:Q17 S101:AC102 M101:Q102 AG101:AH102 AG16:AH17">
    <cfRule type="expression" dxfId="1984" priority="167" stopIfTrue="1">
      <formula>IF($AL9&gt;4,0,1)</formula>
    </cfRule>
  </conditionalFormatting>
  <conditionalFormatting sqref="S8:AC9 M8:Q9 S93:AC94 M93:Q94 AG93:AH94 AG8:AH9">
    <cfRule type="expression" dxfId="1983" priority="168" stopIfTrue="1">
      <formula>IF($AL9&gt;0,0,1)</formula>
    </cfRule>
  </conditionalFormatting>
  <conditionalFormatting sqref="S10:AC11 M10:Q11 S95:AC96 M95:Q96 AG95:AH96 AG10:AH11">
    <cfRule type="expression" dxfId="1982" priority="169" stopIfTrue="1">
      <formula>IF($AL9&gt;1,0,1)</formula>
    </cfRule>
  </conditionalFormatting>
  <conditionalFormatting sqref="S12:AC13 M12:Q13 S97:AC98 M97:Q98 AG97:AH98 AG12:AH13">
    <cfRule type="expression" dxfId="1981" priority="170" stopIfTrue="1">
      <formula>IF($AL9&gt;2,0,1)</formula>
    </cfRule>
  </conditionalFormatting>
  <conditionalFormatting sqref="E24 E109">
    <cfRule type="expression" dxfId="1980" priority="171" stopIfTrue="1">
      <formula>IF(AL8&gt;1,0,1)</formula>
    </cfRule>
  </conditionalFormatting>
  <conditionalFormatting sqref="H24 H109">
    <cfRule type="expression" dxfId="1979" priority="172" stopIfTrue="1">
      <formula>IF(AL8&gt;2,0,1)</formula>
    </cfRule>
  </conditionalFormatting>
  <conditionalFormatting sqref="L24 L109">
    <cfRule type="expression" dxfId="1978" priority="173" stopIfTrue="1">
      <formula>IF(AL8&gt;3,0,1)</formula>
    </cfRule>
  </conditionalFormatting>
  <conditionalFormatting sqref="O24 O109">
    <cfRule type="expression" dxfId="1977" priority="174" stopIfTrue="1">
      <formula>IF(AL8&gt;4,0,1)</formula>
    </cfRule>
  </conditionalFormatting>
  <conditionalFormatting sqref="R24 R109">
    <cfRule type="expression" dxfId="1976" priority="175" stopIfTrue="1">
      <formula>IF(AL8&gt;5,0,1)</formula>
    </cfRule>
  </conditionalFormatting>
  <conditionalFormatting sqref="U24 U109">
    <cfRule type="expression" dxfId="1975" priority="176" stopIfTrue="1">
      <formula>IF(AL8&gt;6,0,1)</formula>
    </cfRule>
  </conditionalFormatting>
  <conditionalFormatting sqref="X24 X109">
    <cfRule type="expression" dxfId="1974" priority="177" stopIfTrue="1">
      <formula>IF(AL8&gt;7,0,1)</formula>
    </cfRule>
  </conditionalFormatting>
  <conditionalFormatting sqref="AA24 AA109">
    <cfRule type="expression" dxfId="1973" priority="178" stopIfTrue="1">
      <formula>IF(AL8&gt;8,0,1)</formula>
    </cfRule>
  </conditionalFormatting>
  <conditionalFormatting sqref="AD24 AD109">
    <cfRule type="expression" dxfId="1972" priority="179" stopIfTrue="1">
      <formula>IF(AL8&gt;9,0,1)</formula>
    </cfRule>
  </conditionalFormatting>
  <conditionalFormatting sqref="AR27 AR112">
    <cfRule type="expression" dxfId="1971" priority="180" stopIfTrue="1">
      <formula>IF($AL9&gt;3,0,1)</formula>
    </cfRule>
  </conditionalFormatting>
  <conditionalFormatting sqref="E25:G25 E110:G110">
    <cfRule type="expression" dxfId="1970" priority="181" stopIfTrue="1">
      <formula>IF($AL8&gt;1,0,1)</formula>
    </cfRule>
  </conditionalFormatting>
  <conditionalFormatting sqref="B21:D21 B106:D106">
    <cfRule type="expression" dxfId="1969" priority="182" stopIfTrue="1">
      <formula>IF(AL8&gt;0,0,1)</formula>
    </cfRule>
  </conditionalFormatting>
  <conditionalFormatting sqref="E21:G21 E106:G106">
    <cfRule type="expression" dxfId="1968" priority="183" stopIfTrue="1">
      <formula>IF(AL8&gt;1,0,1)</formula>
    </cfRule>
  </conditionalFormatting>
  <conditionalFormatting sqref="H21:K21 H106:K106">
    <cfRule type="expression" dxfId="1967" priority="184" stopIfTrue="1">
      <formula>IF(AL8&gt;2,0,1)</formula>
    </cfRule>
  </conditionalFormatting>
  <conditionalFormatting sqref="L21:N21 L106:N106">
    <cfRule type="expression" dxfId="1966" priority="185" stopIfTrue="1">
      <formula>IF(AL8&gt;3,0,1)</formula>
    </cfRule>
  </conditionalFormatting>
  <conditionalFormatting sqref="O21:Q21 O106:Q106">
    <cfRule type="expression" dxfId="1965" priority="186" stopIfTrue="1">
      <formula>IF(AL8&gt;4,0,1)</formula>
    </cfRule>
  </conditionalFormatting>
  <conditionalFormatting sqref="R21:T21 R106:T106">
    <cfRule type="expression" dxfId="1964" priority="187" stopIfTrue="1">
      <formula>IF(AL8&gt;5,0,1)</formula>
    </cfRule>
  </conditionalFormatting>
  <conditionalFormatting sqref="U21:W21 U106:W106">
    <cfRule type="expression" dxfId="1963" priority="188" stopIfTrue="1">
      <formula>IF(AL8&gt;6,0,1)</formula>
    </cfRule>
  </conditionalFormatting>
  <conditionalFormatting sqref="X21:Z21 X106:Z106">
    <cfRule type="expression" dxfId="1962" priority="189" stopIfTrue="1">
      <formula>IF(AL8&gt;7,0,1)</formula>
    </cfRule>
  </conditionalFormatting>
  <conditionalFormatting sqref="AA21:AC21 AA106:AC106">
    <cfRule type="expression" dxfId="1961" priority="190" stopIfTrue="1">
      <formula>IF(AL8&gt;8,0,1)</formula>
    </cfRule>
  </conditionalFormatting>
  <conditionalFormatting sqref="AD21:AF21 AD106:AF106">
    <cfRule type="expression" dxfId="1960" priority="191" stopIfTrue="1">
      <formula>IF(AL8&gt;9,0,1)</formula>
    </cfRule>
  </conditionalFormatting>
  <conditionalFormatting sqref="B215:B216 C215:D215 B218:D223 C224:C225 AE223:AE225 E219:J222 Y224:Y225 X215:X216 Y215:Z215 X218:Z223 AA219:AF222 AB223:AB225 I223:I225 F223:F225">
    <cfRule type="expression" dxfId="1959" priority="192" stopIfTrue="1">
      <formula>IF(#REF!&gt;0,0,1)</formula>
    </cfRule>
  </conditionalFormatting>
  <conditionalFormatting sqref="H223 H215:H218 I215:K215 I218:J218 J223 AD215:AD218 AE215:AF215 AF223 AE218:AF218 AD223">
    <cfRule type="expression" dxfId="1958" priority="193" stopIfTrue="1">
      <formula>IF(#REF!&gt;2,0,1)</formula>
    </cfRule>
  </conditionalFormatting>
  <conditionalFormatting sqref="H224 J224 AD224 AF224">
    <cfRule type="expression" dxfId="1957" priority="194" stopIfTrue="1">
      <formula>IF(#REF!&lt;3,1,IF(#REF!&lt;2,1,0))</formula>
    </cfRule>
  </conditionalFormatting>
  <conditionalFormatting sqref="J225 AD225 AF225 H225">
    <cfRule type="expression" dxfId="1956" priority="195" stopIfTrue="1">
      <formula>IF(#REF!&lt;3,1,IF(#REF!&lt;3,1,0))</formula>
    </cfRule>
  </conditionalFormatting>
  <conditionalFormatting sqref="G223 F218:G218 E223 E215:E218 AB215:AC215 AC223 AB218:AC218 AA223 AA215:AA218 F215:G215">
    <cfRule type="expression" dxfId="1955" priority="196" stopIfTrue="1">
      <formula>IF(#REF!&gt;1,0,1)</formula>
    </cfRule>
  </conditionalFormatting>
  <conditionalFormatting sqref="B224 D224 X224 Z224">
    <cfRule type="expression" dxfId="1954" priority="197" stopIfTrue="1">
      <formula>IF(#REF!&lt;1,1,IF(#REF!&lt;2,1,0))</formula>
    </cfRule>
  </conditionalFormatting>
  <conditionalFormatting sqref="E224 G224 AA224 AC224">
    <cfRule type="expression" dxfId="1953" priority="198" stopIfTrue="1">
      <formula>IF(#REF!&lt;2,1,IF(#REF!&lt;2,1,0))</formula>
    </cfRule>
  </conditionalFormatting>
  <conditionalFormatting sqref="D225 X225 Z225 B225">
    <cfRule type="expression" dxfId="1952" priority="199" stopIfTrue="1">
      <formula>IF(#REF!&lt;1,1,IF(#REF!&lt;3,1,0))</formula>
    </cfRule>
  </conditionalFormatting>
  <conditionalFormatting sqref="G225 AA225 AC225 E225">
    <cfRule type="expression" dxfId="1951" priority="200" stopIfTrue="1">
      <formula>IF(#REF!&lt;2,1,IF(#REF!&lt;3,1,0))</formula>
    </cfRule>
  </conditionalFormatting>
  <conditionalFormatting sqref="AH24:AQ28 AH109:AQ113">
    <cfRule type="cellIs" dxfId="1950" priority="201" stopIfTrue="1" operator="notBetween">
      <formula>-9999</formula>
      <formula>9999</formula>
    </cfRule>
  </conditionalFormatting>
  <conditionalFormatting sqref="B22:D23 B107:D108">
    <cfRule type="cellIs" dxfId="1949" priority="202" stopIfTrue="1" operator="equal">
      <formula>99</formula>
    </cfRule>
  </conditionalFormatting>
  <conditionalFormatting sqref="AD7 AD92">
    <cfRule type="expression" dxfId="1948" priority="203" stopIfTrue="1">
      <formula>IF($AL$11=0,1,0)</formula>
    </cfRule>
  </conditionalFormatting>
  <conditionalFormatting sqref="B18 B103">
    <cfRule type="expression" dxfId="1947" priority="204" stopIfTrue="1">
      <formula>IF($AL$179&gt;0,0,1)</formula>
    </cfRule>
  </conditionalFormatting>
  <conditionalFormatting sqref="C226 F226 Y226 AB226">
    <cfRule type="expression" dxfId="1946" priority="205" stopIfTrue="1">
      <formula>IF(#REF!&gt;0,0,1)</formula>
    </cfRule>
  </conditionalFormatting>
  <pageMargins left="0.25" right="0.25" top="0.25" bottom="0.25" header="0" footer="0"/>
  <pageSetup scale="78" fitToHeight="3" orientation="landscape" r:id="rId1"/>
  <headerFooter alignWithMargins="0"/>
  <rowBreaks count="1" manualBreakCount="1">
    <brk id="90" max="43" man="1"/>
  </rowBreaks>
  <drawing r:id="rId2"/>
  <legacyDrawing r:id="rId3"/>
  <controls>
    <mc:AlternateContent xmlns:mc="http://schemas.openxmlformats.org/markup-compatibility/2006">
      <mc:Choice Requires="x14">
        <control shapeId="1026" r:id="rId4" name="Pool2RecalcFinish">
          <controlPr defaultSize="0" autoLine="0" r:id="rId5">
            <anchor moveWithCells="1" sizeWithCells="1">
              <from>
                <xdr:col>37</xdr:col>
                <xdr:colOff>106680</xdr:colOff>
                <xdr:row>98</xdr:row>
                <xdr:rowOff>7620</xdr:rowOff>
              </from>
              <to>
                <xdr:col>42</xdr:col>
                <xdr:colOff>228600</xdr:colOff>
                <xdr:row>101</xdr:row>
                <xdr:rowOff>106680</xdr:rowOff>
              </to>
            </anchor>
          </controlPr>
        </control>
      </mc:Choice>
      <mc:Fallback>
        <control shapeId="1026" r:id="rId4" name="Pool2RecalcFinish"/>
      </mc:Fallback>
    </mc:AlternateContent>
    <mc:AlternateContent xmlns:mc="http://schemas.openxmlformats.org/markup-compatibility/2006">
      <mc:Choice Requires="x14">
        <control shapeId="1025" r:id="rId6" name="Pool1RecalcFinish">
          <controlPr defaultSize="0" autoLine="0" r:id="rId7">
            <anchor moveWithCells="1" sizeWithCells="1">
              <from>
                <xdr:col>37</xdr:col>
                <xdr:colOff>106680</xdr:colOff>
                <xdr:row>13</xdr:row>
                <xdr:rowOff>7620</xdr:rowOff>
              </from>
              <to>
                <xdr:col>42</xdr:col>
                <xdr:colOff>228600</xdr:colOff>
                <xdr:row>16</xdr:row>
                <xdr:rowOff>106680</xdr:rowOff>
              </to>
            </anchor>
          </controlPr>
        </control>
      </mc:Choice>
      <mc:Fallback>
        <control shapeId="1025" r:id="rId6" name="Pool1RecalcFinish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>
    <tabColor indexed="11"/>
  </sheetPr>
  <dimension ref="A1:CC430"/>
  <sheetViews>
    <sheetView zoomScale="85" zoomScaleNormal="85" workbookViewId="0">
      <selection activeCell="AV3" sqref="AU3:AV3"/>
    </sheetView>
  </sheetViews>
  <sheetFormatPr defaultRowHeight="13.2" x14ac:dyDescent="0.25"/>
  <cols>
    <col min="2" max="2" width="3.6640625" customWidth="1"/>
    <col min="3" max="3" width="2.33203125" customWidth="1"/>
    <col min="4" max="5" width="3.6640625" customWidth="1"/>
    <col min="6" max="6" width="2.33203125" customWidth="1"/>
    <col min="7" max="8" width="3.6640625" customWidth="1"/>
    <col min="9" max="9" width="2.33203125" customWidth="1"/>
    <col min="10" max="12" width="3.6640625" customWidth="1"/>
    <col min="13" max="13" width="2.33203125" customWidth="1"/>
    <col min="14" max="15" width="3.6640625" customWidth="1"/>
    <col min="16" max="16" width="2.33203125" customWidth="1"/>
    <col min="17" max="18" width="3.6640625" customWidth="1"/>
    <col min="19" max="19" width="2.33203125" customWidth="1"/>
    <col min="20" max="21" width="3.6640625" customWidth="1"/>
    <col min="22" max="22" width="2.33203125" customWidth="1"/>
    <col min="23" max="24" width="3.6640625" customWidth="1"/>
    <col min="25" max="25" width="2.33203125" customWidth="1"/>
    <col min="26" max="27" width="3.6640625" customWidth="1"/>
    <col min="28" max="28" width="2.33203125" customWidth="1"/>
    <col min="29" max="30" width="3.6640625" customWidth="1"/>
    <col min="31" max="31" width="2.33203125" customWidth="1"/>
    <col min="32" max="32" width="3.6640625" customWidth="1"/>
    <col min="33" max="33" width="9.6640625" customWidth="1"/>
    <col min="34" max="43" width="3.6640625" customWidth="1"/>
    <col min="44" max="44" width="11" customWidth="1"/>
    <col min="47" max="47" width="24.44140625" customWidth="1"/>
    <col min="48" max="48" width="15.88671875" customWidth="1"/>
    <col min="49" max="49" width="14.33203125" bestFit="1" customWidth="1"/>
    <col min="50" max="50" width="9.6640625" bestFit="1" customWidth="1"/>
    <col min="51" max="51" width="10" customWidth="1"/>
    <col min="52" max="52" width="25" customWidth="1"/>
    <col min="53" max="53" width="6" customWidth="1"/>
  </cols>
  <sheetData>
    <row r="1" spans="1:53" ht="13.8" thickBot="1" x14ac:dyDescent="0.3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 t="s">
        <v>1</v>
      </c>
      <c r="AS1" s="3"/>
      <c r="AT1" s="167" t="s">
        <v>2</v>
      </c>
      <c r="AU1" s="168"/>
      <c r="AV1" s="168"/>
      <c r="AW1" s="169"/>
      <c r="AX1" s="170" t="s">
        <v>3</v>
      </c>
      <c r="AY1" s="171"/>
      <c r="AZ1" s="4" t="s">
        <v>4</v>
      </c>
      <c r="BA1" s="5">
        <v>32</v>
      </c>
    </row>
    <row r="2" spans="1:53" ht="18.75" customHeight="1" thickBot="1" x14ac:dyDescent="0.35">
      <c r="A2" s="2"/>
      <c r="B2" s="6" t="s">
        <v>5</v>
      </c>
      <c r="C2" s="7"/>
      <c r="D2" s="7"/>
      <c r="E2" s="8"/>
      <c r="F2" s="8"/>
      <c r="G2" s="9"/>
      <c r="H2" s="8"/>
      <c r="I2" s="10"/>
      <c r="J2" s="172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4"/>
      <c r="V2" s="175" t="s">
        <v>6</v>
      </c>
      <c r="W2" s="176"/>
      <c r="X2" s="177"/>
      <c r="Y2" s="178"/>
      <c r="Z2" s="179"/>
      <c r="AA2" s="179"/>
      <c r="AB2" s="179"/>
      <c r="AC2" s="179"/>
      <c r="AD2" s="179"/>
      <c r="AE2" s="179"/>
      <c r="AF2" s="180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3"/>
      <c r="AT2" s="12" t="s">
        <v>7</v>
      </c>
      <c r="AU2" s="13" t="s">
        <v>8</v>
      </c>
      <c r="AV2" s="14" t="s">
        <v>9</v>
      </c>
      <c r="AW2" s="15" t="s">
        <v>10</v>
      </c>
      <c r="AX2" s="16" t="s">
        <v>11</v>
      </c>
      <c r="AY2" s="15" t="s">
        <v>12</v>
      </c>
      <c r="AZ2" s="4" t="s">
        <v>13</v>
      </c>
      <c r="BA2" s="5">
        <v>16</v>
      </c>
    </row>
    <row r="3" spans="1:53" ht="18.75" customHeight="1" thickBot="1" x14ac:dyDescent="0.35">
      <c r="A3" s="2"/>
      <c r="B3" s="196" t="s">
        <v>14</v>
      </c>
      <c r="C3" s="197"/>
      <c r="D3" s="198"/>
      <c r="E3" s="199"/>
      <c r="F3" s="199"/>
      <c r="G3" s="199"/>
      <c r="H3" s="199"/>
      <c r="I3" s="199"/>
      <c r="J3" s="199"/>
      <c r="K3" s="199"/>
      <c r="L3" s="200"/>
      <c r="M3" s="201" t="s">
        <v>15</v>
      </c>
      <c r="N3" s="202"/>
      <c r="O3" s="203"/>
      <c r="P3" s="204"/>
      <c r="Q3" s="205"/>
      <c r="R3" s="206"/>
      <c r="S3" s="206"/>
      <c r="T3" s="206"/>
      <c r="U3" s="207"/>
      <c r="V3" s="208" t="s">
        <v>16</v>
      </c>
      <c r="W3" s="209"/>
      <c r="X3" s="209"/>
      <c r="Y3" s="209"/>
      <c r="Z3" s="209"/>
      <c r="AA3" s="210"/>
      <c r="AB3" s="17"/>
      <c r="AC3" s="181" t="s">
        <v>17</v>
      </c>
      <c r="AD3" s="181"/>
      <c r="AE3" s="181" t="s">
        <v>18</v>
      </c>
      <c r="AF3" s="182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3"/>
      <c r="AT3" s="18">
        <v>1</v>
      </c>
      <c r="AU3" s="418" t="s">
        <v>141</v>
      </c>
      <c r="AV3" s="418" t="s">
        <v>142</v>
      </c>
      <c r="AW3" s="21">
        <f>VLOOKUP(AV3,Initial!G:K,5,FALSE)</f>
        <v>1200</v>
      </c>
      <c r="AX3" s="22">
        <f t="shared" ref="AX3:AX9" si="0">VLOOKUP(AU3,AT$79:AU$180,2,FALSE)</f>
        <v>1214.5304984710244</v>
      </c>
      <c r="AY3" s="23">
        <f t="shared" ref="AY3:AY9" si="1">IF(ISNA(VLOOKUP(AU3,AT$182:AU$243,2,FALSE)),AX3,VLOOKUP(AU3,AT$182:AU$243,2,FALSE))</f>
        <v>1214.5304984710244</v>
      </c>
    </row>
    <row r="4" spans="1:53" ht="24" customHeight="1" thickBot="1" x14ac:dyDescent="0.3">
      <c r="A4" s="2"/>
      <c r="B4" s="24"/>
      <c r="C4" s="24"/>
      <c r="D4" s="25"/>
      <c r="E4" s="26"/>
      <c r="F4" s="27"/>
      <c r="G4" s="27"/>
      <c r="H4" s="183" t="s">
        <v>19</v>
      </c>
      <c r="I4" s="184"/>
      <c r="J4" s="185"/>
      <c r="K4" s="185"/>
      <c r="L4" s="185"/>
      <c r="M4" s="185"/>
      <c r="N4" s="186"/>
      <c r="O4" s="187"/>
      <c r="P4" s="187"/>
      <c r="Q4" s="187"/>
      <c r="R4" s="187"/>
      <c r="S4" s="187"/>
      <c r="T4" s="187"/>
      <c r="U4" s="188"/>
      <c r="V4" s="189" t="s">
        <v>20</v>
      </c>
      <c r="W4" s="190"/>
      <c r="X4" s="190"/>
      <c r="Y4" s="190"/>
      <c r="Z4" s="191"/>
      <c r="AA4" s="192"/>
      <c r="AB4" s="187"/>
      <c r="AC4" s="187"/>
      <c r="AD4" s="187"/>
      <c r="AE4" s="187"/>
      <c r="AF4" s="188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3"/>
      <c r="AT4" s="28">
        <v>2</v>
      </c>
      <c r="AU4" s="418" t="s">
        <v>143</v>
      </c>
      <c r="AV4" s="418" t="s">
        <v>144</v>
      </c>
      <c r="AW4" s="21">
        <f>VLOOKUP(AV4,Initial!G:K,5,FALSE)</f>
        <v>1200</v>
      </c>
      <c r="AX4" s="31">
        <f t="shared" si="0"/>
        <v>1199.8765772221348</v>
      </c>
      <c r="AY4" s="23">
        <f t="shared" si="1"/>
        <v>1199.8765772221348</v>
      </c>
    </row>
    <row r="5" spans="1:53" ht="15.6" thickBot="1" x14ac:dyDescent="0.3">
      <c r="A5" s="1" t="s">
        <v>21</v>
      </c>
      <c r="B5" s="193" t="s">
        <v>21</v>
      </c>
      <c r="C5" s="194"/>
      <c r="D5" s="194"/>
      <c r="E5" s="194"/>
      <c r="F5" s="194"/>
      <c r="G5" s="194"/>
      <c r="H5" s="194"/>
      <c r="I5" s="194"/>
      <c r="J5" s="194"/>
      <c r="K5" s="32"/>
      <c r="L5" s="195" t="s">
        <v>21</v>
      </c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3"/>
      <c r="AT5" s="28">
        <v>3</v>
      </c>
      <c r="AU5" s="418" t="s">
        <v>145</v>
      </c>
      <c r="AV5" s="418" t="s">
        <v>146</v>
      </c>
      <c r="AW5" s="21">
        <f>VLOOKUP(AV5,Initial!G:K,5,FALSE)</f>
        <v>1200</v>
      </c>
      <c r="AX5" s="31">
        <f t="shared" si="0"/>
        <v>1258.4581800415169</v>
      </c>
      <c r="AY5" s="23">
        <f t="shared" si="1"/>
        <v>1258.4581800415169</v>
      </c>
    </row>
    <row r="6" spans="1:53" ht="24" customHeight="1" thickBot="1" x14ac:dyDescent="0.3">
      <c r="A6" s="33" t="s">
        <v>22</v>
      </c>
      <c r="B6" s="34" t="s">
        <v>23</v>
      </c>
      <c r="C6" s="211" t="s">
        <v>24</v>
      </c>
      <c r="D6" s="212"/>
      <c r="E6" s="212"/>
      <c r="F6" s="212"/>
      <c r="G6" s="212"/>
      <c r="H6" s="213"/>
      <c r="I6" s="214">
        <v>1</v>
      </c>
      <c r="J6" s="215"/>
      <c r="K6" s="216" t="str">
        <f>"Pool "&amp;B6&amp;" - Round 1 - Court "&amp;I6</f>
        <v>Pool A - Round 1 - Court 1</v>
      </c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8"/>
      <c r="AK6" s="11"/>
      <c r="AL6" s="11"/>
      <c r="AM6" s="11"/>
      <c r="AN6" s="11"/>
      <c r="AO6" s="11"/>
      <c r="AP6" s="11"/>
      <c r="AQ6" s="11"/>
      <c r="AR6" s="11"/>
      <c r="AT6" s="28">
        <v>4</v>
      </c>
      <c r="AU6" s="418" t="s">
        <v>147</v>
      </c>
      <c r="AV6" s="418" t="s">
        <v>148</v>
      </c>
      <c r="AW6" s="21">
        <f>VLOOKUP(AV6,Initial!G:K,5,FALSE)</f>
        <v>1200</v>
      </c>
      <c r="AX6" s="31">
        <f t="shared" si="0"/>
        <v>1153.4695015289756</v>
      </c>
      <c r="AY6" s="23">
        <f t="shared" si="1"/>
        <v>1153.4695015289756</v>
      </c>
    </row>
    <row r="7" spans="1:53" ht="27" customHeight="1" thickBot="1" x14ac:dyDescent="0.3">
      <c r="A7" s="35" t="s">
        <v>25</v>
      </c>
      <c r="B7" s="183" t="s">
        <v>8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183" t="str">
        <f>IF($AL10=0,"Games Won","Matches Won")</f>
        <v>Matches Won</v>
      </c>
      <c r="N7" s="219"/>
      <c r="O7" s="219"/>
      <c r="P7" s="219"/>
      <c r="Q7" s="219"/>
      <c r="R7" s="220"/>
      <c r="S7" s="183" t="str">
        <f>IF($AL10=0,"Games Lost","Matches Lost")</f>
        <v>Matches Lost</v>
      </c>
      <c r="T7" s="221"/>
      <c r="U7" s="221"/>
      <c r="V7" s="221"/>
      <c r="W7" s="222"/>
      <c r="X7" s="223" t="s">
        <v>26</v>
      </c>
      <c r="Y7" s="224"/>
      <c r="Z7" s="225"/>
      <c r="AA7" s="223" t="s">
        <v>27</v>
      </c>
      <c r="AB7" s="224"/>
      <c r="AC7" s="225"/>
      <c r="AD7" s="226" t="s">
        <v>28</v>
      </c>
      <c r="AE7" s="227"/>
      <c r="AF7" s="228"/>
      <c r="AG7" s="36" t="s">
        <v>29</v>
      </c>
      <c r="AH7" s="37" t="s">
        <v>7</v>
      </c>
      <c r="AI7" s="229" t="s">
        <v>30</v>
      </c>
      <c r="AJ7" s="230"/>
      <c r="AK7" s="38"/>
      <c r="AL7" s="39">
        <v>1</v>
      </c>
      <c r="AM7" s="40" t="s">
        <v>31</v>
      </c>
      <c r="AN7" s="40"/>
      <c r="AO7" s="40"/>
      <c r="AP7" s="40"/>
      <c r="AQ7" s="40"/>
      <c r="AR7" s="40"/>
      <c r="AS7" s="41"/>
      <c r="AT7" s="28">
        <v>5</v>
      </c>
      <c r="AU7" s="418" t="s">
        <v>149</v>
      </c>
      <c r="AV7" s="418" t="s">
        <v>150</v>
      </c>
      <c r="AW7" s="21">
        <f>VLOOKUP(AV7,Initial!G:K,5,FALSE)</f>
        <v>1200</v>
      </c>
      <c r="AX7" s="31">
        <f t="shared" si="0"/>
        <v>1246.5304984710244</v>
      </c>
      <c r="AY7" s="23">
        <f t="shared" si="1"/>
        <v>1246.5304984710244</v>
      </c>
    </row>
    <row r="8" spans="1:53" ht="18.75" customHeight="1" thickBot="1" x14ac:dyDescent="0.3">
      <c r="A8" s="231" t="str">
        <f>IF($AL9&gt;0,"1","")</f>
        <v>1</v>
      </c>
      <c r="B8" s="233" t="s">
        <v>8</v>
      </c>
      <c r="C8" s="234"/>
      <c r="D8" s="235"/>
      <c r="E8" s="236" t="str">
        <f>AU3</f>
        <v>Intense kids power col</v>
      </c>
      <c r="F8" s="237"/>
      <c r="G8" s="237"/>
      <c r="H8" s="237"/>
      <c r="I8" s="237"/>
      <c r="J8" s="237"/>
      <c r="K8" s="237"/>
      <c r="L8" s="238"/>
      <c r="M8" s="239">
        <f>IF($AL10=0,AG64,AG46)</f>
        <v>2</v>
      </c>
      <c r="N8" s="240"/>
      <c r="O8" s="240"/>
      <c r="P8" s="240"/>
      <c r="Q8" s="240"/>
      <c r="R8" s="220"/>
      <c r="S8" s="239">
        <f>IF($AL10=0,AH64,AH46)</f>
        <v>1</v>
      </c>
      <c r="T8" s="240"/>
      <c r="U8" s="240"/>
      <c r="V8" s="240"/>
      <c r="W8" s="240"/>
      <c r="X8" s="239">
        <f>AR24</f>
        <v>7</v>
      </c>
      <c r="Y8" s="240"/>
      <c r="Z8" s="240"/>
      <c r="AA8" s="243">
        <f>IF(AG58&gt;0,(AR24/AG58),0)</f>
        <v>0.10144927536231885</v>
      </c>
      <c r="AB8" s="244"/>
      <c r="AC8" s="244"/>
      <c r="AD8" s="247">
        <f>IF(AG72=0,0,(AG64/AG72))</f>
        <v>0.66666666666666663</v>
      </c>
      <c r="AE8" s="248"/>
      <c r="AF8" s="249"/>
      <c r="AG8" s="253">
        <v>2</v>
      </c>
      <c r="AH8" s="253">
        <v>1</v>
      </c>
      <c r="AI8" s="255"/>
      <c r="AJ8" s="256"/>
      <c r="AK8" s="38"/>
      <c r="AL8" s="39">
        <v>6</v>
      </c>
      <c r="AM8" s="40" t="s">
        <v>32</v>
      </c>
      <c r="AN8" s="40"/>
      <c r="AO8" s="40"/>
      <c r="AP8" s="40"/>
      <c r="AQ8" s="40"/>
      <c r="AR8" s="40"/>
      <c r="AS8" s="41"/>
      <c r="AT8" s="28">
        <v>6</v>
      </c>
      <c r="AU8" s="418" t="s">
        <v>151</v>
      </c>
      <c r="AV8" s="418" t="s">
        <v>152</v>
      </c>
      <c r="AW8" s="21">
        <f>VLOOKUP(AV8,Initial!G:K,5,FALSE)</f>
        <v>1200</v>
      </c>
      <c r="AX8" s="31">
        <f t="shared" si="0"/>
        <v>1141.6652427363483</v>
      </c>
      <c r="AY8" s="23">
        <f t="shared" si="1"/>
        <v>1141.6652427363483</v>
      </c>
    </row>
    <row r="9" spans="1:53" ht="18.75" customHeight="1" thickBot="1" x14ac:dyDescent="0.3">
      <c r="A9" s="232"/>
      <c r="B9" s="263" t="s">
        <v>9</v>
      </c>
      <c r="C9" s="264"/>
      <c r="D9" s="265"/>
      <c r="E9" s="261" t="str">
        <f>AV3</f>
        <v>fj2inten3pm</v>
      </c>
      <c r="F9" s="262"/>
      <c r="G9" s="262"/>
      <c r="H9" s="262"/>
      <c r="I9" s="262"/>
      <c r="J9" s="262"/>
      <c r="K9" s="262"/>
      <c r="L9" s="262"/>
      <c r="M9" s="241"/>
      <c r="N9" s="242"/>
      <c r="O9" s="242"/>
      <c r="P9" s="242"/>
      <c r="Q9" s="242"/>
      <c r="R9" s="220"/>
      <c r="S9" s="241"/>
      <c r="T9" s="242"/>
      <c r="U9" s="242"/>
      <c r="V9" s="242"/>
      <c r="W9" s="242"/>
      <c r="X9" s="241"/>
      <c r="Y9" s="242"/>
      <c r="Z9" s="242"/>
      <c r="AA9" s="245"/>
      <c r="AB9" s="246"/>
      <c r="AC9" s="246"/>
      <c r="AD9" s="250"/>
      <c r="AE9" s="251"/>
      <c r="AF9" s="252"/>
      <c r="AG9" s="254"/>
      <c r="AH9" s="254"/>
      <c r="AI9" s="257"/>
      <c r="AJ9" s="258"/>
      <c r="AK9" s="38"/>
      <c r="AL9" s="39">
        <v>4</v>
      </c>
      <c r="AM9" s="40" t="s">
        <v>33</v>
      </c>
      <c r="AN9" s="38"/>
      <c r="AO9" s="38"/>
      <c r="AP9" s="38"/>
      <c r="AQ9" s="38"/>
      <c r="AR9" s="38"/>
      <c r="AS9" s="3"/>
      <c r="AT9" s="28">
        <v>7</v>
      </c>
      <c r="AU9" s="418" t="s">
        <v>153</v>
      </c>
      <c r="AV9" s="418" t="s">
        <v>154</v>
      </c>
      <c r="AW9" s="21">
        <f>VLOOKUP(AV9,Initial!G:K,5,FALSE)</f>
        <v>1200</v>
      </c>
      <c r="AX9" s="31">
        <f t="shared" si="0"/>
        <v>1185.4695015289756</v>
      </c>
      <c r="AY9" s="23">
        <f t="shared" si="1"/>
        <v>1185.4695015289756</v>
      </c>
    </row>
    <row r="10" spans="1:53" ht="18.75" customHeight="1" x14ac:dyDescent="0.25">
      <c r="A10" s="231" t="str">
        <f>IF($AL9&gt;1,"2","")</f>
        <v>2</v>
      </c>
      <c r="B10" s="233" t="s">
        <v>8</v>
      </c>
      <c r="C10" s="234"/>
      <c r="D10" s="235"/>
      <c r="E10" s="236" t="str">
        <f>AU6</f>
        <v>MOTO 12'1</v>
      </c>
      <c r="F10" s="237"/>
      <c r="G10" s="237"/>
      <c r="H10" s="237"/>
      <c r="I10" s="237"/>
      <c r="J10" s="237"/>
      <c r="K10" s="237"/>
      <c r="L10" s="238"/>
      <c r="M10" s="239">
        <f>IF($AL10=0,AG65,AG47)</f>
        <v>0</v>
      </c>
      <c r="N10" s="240"/>
      <c r="O10" s="240"/>
      <c r="P10" s="240"/>
      <c r="Q10" s="240"/>
      <c r="R10" s="220"/>
      <c r="S10" s="239">
        <f>IF($AL10=0,AH65,AH47)</f>
        <v>3</v>
      </c>
      <c r="T10" s="240"/>
      <c r="U10" s="240"/>
      <c r="V10" s="240"/>
      <c r="W10" s="240"/>
      <c r="X10" s="239">
        <f>AR25</f>
        <v>-25</v>
      </c>
      <c r="Y10" s="240"/>
      <c r="Z10" s="240"/>
      <c r="AA10" s="243">
        <f>IF(AG59&gt;0,(AR25/AG59),0)</f>
        <v>-0.37313432835820898</v>
      </c>
      <c r="AB10" s="244"/>
      <c r="AC10" s="244"/>
      <c r="AD10" s="247">
        <f>IF(AG73=0,0,(AG65/AG73))</f>
        <v>0</v>
      </c>
      <c r="AE10" s="248"/>
      <c r="AF10" s="249"/>
      <c r="AG10" s="253">
        <v>4</v>
      </c>
      <c r="AH10" s="253">
        <v>1</v>
      </c>
      <c r="AI10" s="255"/>
      <c r="AJ10" s="256"/>
      <c r="AK10" s="38"/>
      <c r="AL10" s="39">
        <v>1</v>
      </c>
      <c r="AM10" s="40" t="s">
        <v>34</v>
      </c>
      <c r="AN10" s="40"/>
      <c r="AO10" s="40"/>
      <c r="AP10" s="40"/>
      <c r="AQ10" s="40"/>
      <c r="AR10" s="40"/>
      <c r="AS10" s="41"/>
      <c r="AT10" s="42"/>
      <c r="AU10" s="43"/>
      <c r="AV10" s="44"/>
      <c r="AW10" s="45"/>
      <c r="AX10" s="46"/>
      <c r="AY10" s="47"/>
    </row>
    <row r="11" spans="1:53" ht="18.75" customHeight="1" thickBot="1" x14ac:dyDescent="0.3">
      <c r="A11" s="232"/>
      <c r="B11" s="259" t="s">
        <v>9</v>
      </c>
      <c r="C11" s="260"/>
      <c r="D11" s="260"/>
      <c r="E11" s="261" t="str">
        <f>AV6</f>
        <v>fj1motoj1pm</v>
      </c>
      <c r="F11" s="262"/>
      <c r="G11" s="262"/>
      <c r="H11" s="262"/>
      <c r="I11" s="262"/>
      <c r="J11" s="262"/>
      <c r="K11" s="262"/>
      <c r="L11" s="262"/>
      <c r="M11" s="241"/>
      <c r="N11" s="242"/>
      <c r="O11" s="242"/>
      <c r="P11" s="242"/>
      <c r="Q11" s="242"/>
      <c r="R11" s="220"/>
      <c r="S11" s="241"/>
      <c r="T11" s="242"/>
      <c r="U11" s="242"/>
      <c r="V11" s="242"/>
      <c r="W11" s="242"/>
      <c r="X11" s="241"/>
      <c r="Y11" s="242"/>
      <c r="Z11" s="242"/>
      <c r="AA11" s="245"/>
      <c r="AB11" s="246"/>
      <c r="AC11" s="246"/>
      <c r="AD11" s="250"/>
      <c r="AE11" s="251"/>
      <c r="AF11" s="252"/>
      <c r="AG11" s="254"/>
      <c r="AH11" s="254"/>
      <c r="AI11" s="257"/>
      <c r="AJ11" s="258"/>
      <c r="AK11" s="38"/>
      <c r="AL11" s="39">
        <v>1</v>
      </c>
      <c r="AM11" s="40" t="s">
        <v>35</v>
      </c>
      <c r="AN11" s="38"/>
      <c r="AO11" s="38"/>
      <c r="AP11" s="38"/>
      <c r="AQ11" s="38"/>
      <c r="AR11" s="38"/>
      <c r="AS11" s="3"/>
      <c r="AT11" s="42"/>
      <c r="AU11" s="43"/>
      <c r="AV11" s="44"/>
      <c r="AW11" s="45"/>
      <c r="AX11" s="46"/>
      <c r="AY11" s="47"/>
    </row>
    <row r="12" spans="1:53" ht="18.75" customHeight="1" thickBot="1" x14ac:dyDescent="0.3">
      <c r="A12" s="231" t="str">
        <f>IF($AL9&gt;2,"3","")</f>
        <v>3</v>
      </c>
      <c r="B12" s="266" t="s">
        <v>8</v>
      </c>
      <c r="C12" s="267"/>
      <c r="D12" s="267"/>
      <c r="E12" s="236" t="str">
        <f>AU7</f>
        <v>C1VB Juniors Royal</v>
      </c>
      <c r="F12" s="237"/>
      <c r="G12" s="237"/>
      <c r="H12" s="237"/>
      <c r="I12" s="237"/>
      <c r="J12" s="237"/>
      <c r="K12" s="237"/>
      <c r="L12" s="238"/>
      <c r="M12" s="239">
        <f>IF($AL10=0,AG66,AG48)</f>
        <v>3</v>
      </c>
      <c r="N12" s="240"/>
      <c r="O12" s="240"/>
      <c r="P12" s="240"/>
      <c r="Q12" s="240"/>
      <c r="R12" s="220"/>
      <c r="S12" s="239">
        <f>IF($AL10=0,AH66,AH48)</f>
        <v>0</v>
      </c>
      <c r="T12" s="240"/>
      <c r="U12" s="240"/>
      <c r="V12" s="240"/>
      <c r="W12" s="240"/>
      <c r="X12" s="239">
        <f>AR26</f>
        <v>23</v>
      </c>
      <c r="Y12" s="240"/>
      <c r="Z12" s="240"/>
      <c r="AA12" s="243">
        <f>IF(AG60&gt;0,(AR26/AG60),0)</f>
        <v>0.34328358208955223</v>
      </c>
      <c r="AB12" s="244"/>
      <c r="AC12" s="244"/>
      <c r="AD12" s="247">
        <f>IF(AG74=0,0,(AG66/AG74))</f>
        <v>1</v>
      </c>
      <c r="AE12" s="248"/>
      <c r="AF12" s="249"/>
      <c r="AG12" s="253">
        <v>1</v>
      </c>
      <c r="AH12" s="253">
        <v>1</v>
      </c>
      <c r="AI12" s="255"/>
      <c r="AJ12" s="256"/>
      <c r="AK12" s="48"/>
      <c r="AL12" s="39">
        <v>3</v>
      </c>
      <c r="AM12" s="49" t="s">
        <v>36</v>
      </c>
      <c r="AN12" s="40"/>
      <c r="AO12" s="40"/>
      <c r="AP12" s="40"/>
      <c r="AQ12" s="40"/>
      <c r="AR12" s="40"/>
      <c r="AS12" s="41"/>
      <c r="AT12" s="50"/>
      <c r="AU12" s="51"/>
      <c r="AV12" s="52"/>
      <c r="AW12" s="53"/>
      <c r="AX12" s="54"/>
      <c r="AY12" s="55"/>
    </row>
    <row r="13" spans="1:53" ht="18.75" customHeight="1" thickBot="1" x14ac:dyDescent="0.3">
      <c r="A13" s="232"/>
      <c r="B13" s="259" t="s">
        <v>9</v>
      </c>
      <c r="C13" s="260"/>
      <c r="D13" s="260"/>
      <c r="E13" s="261" t="str">
        <f>AV7</f>
        <v>fj2crone7pm</v>
      </c>
      <c r="F13" s="262"/>
      <c r="G13" s="262"/>
      <c r="H13" s="262"/>
      <c r="I13" s="262"/>
      <c r="J13" s="262"/>
      <c r="K13" s="262"/>
      <c r="L13" s="262"/>
      <c r="M13" s="241"/>
      <c r="N13" s="242"/>
      <c r="O13" s="242"/>
      <c r="P13" s="242"/>
      <c r="Q13" s="242"/>
      <c r="R13" s="220"/>
      <c r="S13" s="241"/>
      <c r="T13" s="242"/>
      <c r="U13" s="242"/>
      <c r="V13" s="242"/>
      <c r="W13" s="242"/>
      <c r="X13" s="241"/>
      <c r="Y13" s="242"/>
      <c r="Z13" s="242"/>
      <c r="AA13" s="245"/>
      <c r="AB13" s="246"/>
      <c r="AC13" s="246"/>
      <c r="AD13" s="250"/>
      <c r="AE13" s="251"/>
      <c r="AF13" s="252"/>
      <c r="AG13" s="254"/>
      <c r="AH13" s="254"/>
      <c r="AI13" s="257"/>
      <c r="AJ13" s="258"/>
      <c r="AK13" s="48"/>
      <c r="AL13" s="56"/>
      <c r="AM13" s="57"/>
      <c r="AN13" s="57"/>
      <c r="AO13" s="57"/>
      <c r="AP13" s="57"/>
      <c r="AQ13" s="57"/>
      <c r="AR13" s="38"/>
      <c r="AS13" s="3"/>
      <c r="AT13" s="270" t="s">
        <v>37</v>
      </c>
      <c r="AU13" s="271"/>
      <c r="AV13" s="271"/>
      <c r="AW13" s="271"/>
      <c r="AX13" s="271"/>
      <c r="AY13" s="272"/>
    </row>
    <row r="14" spans="1:53" ht="18.75" customHeight="1" thickBot="1" x14ac:dyDescent="0.3">
      <c r="A14" s="231" t="str">
        <f>IF($AL9&gt;3,"4","")</f>
        <v>4</v>
      </c>
      <c r="B14" s="266" t="s">
        <v>8</v>
      </c>
      <c r="C14" s="267"/>
      <c r="D14" s="267"/>
      <c r="E14" s="236" t="str">
        <f>AU9</f>
        <v>Foothills Vanessa</v>
      </c>
      <c r="F14" s="237"/>
      <c r="G14" s="237"/>
      <c r="H14" s="237"/>
      <c r="I14" s="237"/>
      <c r="J14" s="237"/>
      <c r="K14" s="237"/>
      <c r="L14" s="238"/>
      <c r="M14" s="239">
        <f>IF($AL10=0,AG67,AG49)</f>
        <v>1</v>
      </c>
      <c r="N14" s="240"/>
      <c r="O14" s="240"/>
      <c r="P14" s="240"/>
      <c r="Q14" s="240"/>
      <c r="R14" s="220"/>
      <c r="S14" s="239">
        <f>IF($AL10=0,AH67,AH49)</f>
        <v>2</v>
      </c>
      <c r="T14" s="240"/>
      <c r="U14" s="240"/>
      <c r="V14" s="240"/>
      <c r="W14" s="240"/>
      <c r="X14" s="239">
        <f>AR27</f>
        <v>-5</v>
      </c>
      <c r="Y14" s="240"/>
      <c r="Z14" s="240"/>
      <c r="AA14" s="243">
        <f>IF(AG61&gt;0,(AR27/AG61),0)</f>
        <v>-7.2463768115942032E-2</v>
      </c>
      <c r="AB14" s="244"/>
      <c r="AC14" s="244"/>
      <c r="AD14" s="247">
        <f>IF(AG75=0,0,(AG67/AG75))</f>
        <v>0.33333333333333331</v>
      </c>
      <c r="AE14" s="248"/>
      <c r="AF14" s="249"/>
      <c r="AG14" s="253">
        <v>3</v>
      </c>
      <c r="AH14" s="253">
        <v>1</v>
      </c>
      <c r="AI14" s="255"/>
      <c r="AJ14" s="256"/>
      <c r="AK14" s="11"/>
      <c r="AL14" s="57"/>
      <c r="AM14" s="57"/>
      <c r="AN14" s="57"/>
      <c r="AO14" s="57"/>
      <c r="AP14" s="57"/>
      <c r="AQ14" s="57"/>
      <c r="AR14" s="40"/>
      <c r="AS14" s="41"/>
      <c r="AT14" s="273"/>
      <c r="AU14" s="274"/>
      <c r="AV14" s="274"/>
      <c r="AW14" s="274"/>
      <c r="AX14" s="274"/>
      <c r="AY14" s="275"/>
    </row>
    <row r="15" spans="1:53" ht="18.75" customHeight="1" thickBot="1" x14ac:dyDescent="0.3">
      <c r="A15" s="232"/>
      <c r="B15" s="259" t="s">
        <v>9</v>
      </c>
      <c r="C15" s="260"/>
      <c r="D15" s="260"/>
      <c r="E15" s="261" t="str">
        <f>AV9</f>
        <v>fj2footh2pm</v>
      </c>
      <c r="F15" s="262"/>
      <c r="G15" s="262"/>
      <c r="H15" s="262"/>
      <c r="I15" s="262"/>
      <c r="J15" s="262"/>
      <c r="K15" s="262"/>
      <c r="L15" s="262"/>
      <c r="M15" s="241"/>
      <c r="N15" s="242"/>
      <c r="O15" s="242"/>
      <c r="P15" s="242"/>
      <c r="Q15" s="242"/>
      <c r="R15" s="220"/>
      <c r="S15" s="241"/>
      <c r="T15" s="242"/>
      <c r="U15" s="242"/>
      <c r="V15" s="242"/>
      <c r="W15" s="242"/>
      <c r="X15" s="241"/>
      <c r="Y15" s="242"/>
      <c r="Z15" s="242"/>
      <c r="AA15" s="245"/>
      <c r="AB15" s="246"/>
      <c r="AC15" s="246"/>
      <c r="AD15" s="250"/>
      <c r="AE15" s="251"/>
      <c r="AF15" s="252"/>
      <c r="AG15" s="254"/>
      <c r="AH15" s="254"/>
      <c r="AI15" s="257"/>
      <c r="AJ15" s="258"/>
      <c r="AK15" s="11"/>
      <c r="AL15" s="57"/>
      <c r="AM15" s="57"/>
      <c r="AN15" s="57"/>
      <c r="AO15" s="57"/>
      <c r="AP15" s="57"/>
      <c r="AQ15" s="57"/>
      <c r="AR15" s="11"/>
      <c r="AS15" s="3"/>
    </row>
    <row r="16" spans="1:53" ht="18.75" customHeight="1" x14ac:dyDescent="0.25">
      <c r="A16" s="231" t="str">
        <f>IF($AL9&gt;4,"5","")</f>
        <v/>
      </c>
      <c r="B16" s="266" t="s">
        <v>8</v>
      </c>
      <c r="C16" s="267"/>
      <c r="D16" s="267"/>
      <c r="E16" s="236">
        <f>AU11</f>
        <v>0</v>
      </c>
      <c r="F16" s="237"/>
      <c r="G16" s="237"/>
      <c r="H16" s="237"/>
      <c r="I16" s="237"/>
      <c r="J16" s="237"/>
      <c r="K16" s="237"/>
      <c r="L16" s="238"/>
      <c r="M16" s="239">
        <f>IF($AL10=0,AG68,AG50)</f>
        <v>0</v>
      </c>
      <c r="N16" s="240"/>
      <c r="O16" s="240"/>
      <c r="P16" s="240"/>
      <c r="Q16" s="240"/>
      <c r="R16" s="220"/>
      <c r="S16" s="239">
        <f>IF($AL10=0,AH68,AH50)</f>
        <v>0</v>
      </c>
      <c r="T16" s="240"/>
      <c r="U16" s="240"/>
      <c r="V16" s="240"/>
      <c r="W16" s="240"/>
      <c r="X16" s="239">
        <f>AR28</f>
        <v>0</v>
      </c>
      <c r="Y16" s="240"/>
      <c r="Z16" s="240"/>
      <c r="AA16" s="243">
        <f>IF(AG62&gt;0,(AR28/AG62),0)</f>
        <v>0</v>
      </c>
      <c r="AB16" s="244"/>
      <c r="AC16" s="244"/>
      <c r="AD16" s="247">
        <f>IF(AG76=0,0,(AG68/AG76))</f>
        <v>0</v>
      </c>
      <c r="AE16" s="248"/>
      <c r="AF16" s="249"/>
      <c r="AG16" s="253"/>
      <c r="AH16" s="253"/>
      <c r="AI16" s="255"/>
      <c r="AJ16" s="256"/>
      <c r="AK16" s="11"/>
      <c r="AL16" s="57"/>
      <c r="AM16" s="57"/>
      <c r="AN16" s="57"/>
      <c r="AO16" s="57"/>
      <c r="AP16" s="57"/>
      <c r="AQ16" s="57"/>
      <c r="AR16" s="11"/>
      <c r="AS16" s="3"/>
      <c r="AT16" s="58"/>
      <c r="AU16" s="58"/>
    </row>
    <row r="17" spans="1:47" ht="18.75" customHeight="1" thickBot="1" x14ac:dyDescent="0.3">
      <c r="A17" s="232"/>
      <c r="B17" s="277" t="s">
        <v>9</v>
      </c>
      <c r="C17" s="278"/>
      <c r="D17" s="278"/>
      <c r="E17" s="279">
        <f>AV11</f>
        <v>0</v>
      </c>
      <c r="F17" s="280"/>
      <c r="G17" s="280"/>
      <c r="H17" s="280"/>
      <c r="I17" s="280"/>
      <c r="J17" s="280"/>
      <c r="K17" s="280"/>
      <c r="L17" s="280"/>
      <c r="M17" s="268"/>
      <c r="N17" s="269"/>
      <c r="O17" s="269"/>
      <c r="P17" s="269"/>
      <c r="Q17" s="269"/>
      <c r="R17" s="220"/>
      <c r="S17" s="241"/>
      <c r="T17" s="242"/>
      <c r="U17" s="242"/>
      <c r="V17" s="242"/>
      <c r="W17" s="242"/>
      <c r="X17" s="241"/>
      <c r="Y17" s="242"/>
      <c r="Z17" s="242"/>
      <c r="AA17" s="245"/>
      <c r="AB17" s="246"/>
      <c r="AC17" s="246"/>
      <c r="AD17" s="250"/>
      <c r="AE17" s="251"/>
      <c r="AF17" s="252"/>
      <c r="AG17" s="254"/>
      <c r="AH17" s="276"/>
      <c r="AI17" s="257"/>
      <c r="AJ17" s="258"/>
      <c r="AK17" s="11"/>
      <c r="AL17" s="57"/>
      <c r="AM17" s="57"/>
      <c r="AN17" s="57"/>
      <c r="AO17" s="57"/>
      <c r="AP17" s="57"/>
      <c r="AQ17" s="57"/>
      <c r="AR17" s="11"/>
      <c r="AS17" s="3"/>
      <c r="AT17" s="58"/>
      <c r="AU17" s="58"/>
    </row>
    <row r="18" spans="1:47" ht="21" customHeight="1" thickTop="1" thickBot="1" x14ac:dyDescent="0.3">
      <c r="A18" s="59"/>
      <c r="B18" s="281" t="s">
        <v>38</v>
      </c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3"/>
      <c r="AK18" s="11"/>
      <c r="AL18" s="57"/>
      <c r="AM18" s="57"/>
      <c r="AN18" s="57"/>
      <c r="AO18" s="57"/>
      <c r="AP18" s="57"/>
      <c r="AQ18" s="57"/>
      <c r="AR18" s="11"/>
      <c r="AS18" s="3"/>
      <c r="AT18" s="58"/>
      <c r="AU18" s="58"/>
    </row>
    <row r="19" spans="1:47" ht="13.8" thickTop="1" x14ac:dyDescent="0.25">
      <c r="A19" t="s">
        <v>39</v>
      </c>
      <c r="B19" s="284">
        <v>0.35416666666666669</v>
      </c>
      <c r="C19" s="285"/>
      <c r="D19" s="286"/>
      <c r="E19" s="284">
        <v>0.39583333333333331</v>
      </c>
      <c r="F19" s="285"/>
      <c r="G19" s="286"/>
      <c r="H19" s="284">
        <v>0.4375</v>
      </c>
      <c r="I19" s="285"/>
      <c r="J19" s="286"/>
      <c r="K19" s="287"/>
      <c r="L19" s="284">
        <v>0.5</v>
      </c>
      <c r="M19" s="285"/>
      <c r="N19" s="286"/>
      <c r="O19" s="284">
        <v>4.1666666666666664E-2</v>
      </c>
      <c r="P19" s="285"/>
      <c r="Q19" s="286"/>
      <c r="R19" s="284">
        <v>8.3333333333333329E-2</v>
      </c>
      <c r="S19" s="285"/>
      <c r="T19" s="286"/>
      <c r="U19" s="284"/>
      <c r="V19" s="285"/>
      <c r="W19" s="286"/>
      <c r="X19" s="284"/>
      <c r="Y19" s="285"/>
      <c r="Z19" s="286"/>
      <c r="AA19" s="284"/>
      <c r="AB19" s="285"/>
      <c r="AC19" s="286"/>
      <c r="AD19" s="284"/>
      <c r="AE19" s="285"/>
      <c r="AF19" s="286"/>
      <c r="AG19" s="290" t="s">
        <v>40</v>
      </c>
      <c r="AH19" s="291"/>
      <c r="AI19" s="291"/>
      <c r="AJ19" s="291"/>
      <c r="AK19" s="292"/>
      <c r="AL19" s="292"/>
      <c r="AM19" s="292"/>
      <c r="AN19" s="292"/>
      <c r="AO19" s="292"/>
      <c r="AP19" s="292"/>
      <c r="AQ19" s="292"/>
      <c r="AR19" s="293"/>
      <c r="AT19" s="58"/>
      <c r="AU19" s="58"/>
    </row>
    <row r="20" spans="1:47" x14ac:dyDescent="0.25">
      <c r="A20" s="60" t="s">
        <v>41</v>
      </c>
      <c r="B20" s="298"/>
      <c r="C20" s="299"/>
      <c r="D20" s="300"/>
      <c r="E20" s="298"/>
      <c r="F20" s="299"/>
      <c r="G20" s="300"/>
      <c r="H20" s="298"/>
      <c r="I20" s="299"/>
      <c r="J20" s="300"/>
      <c r="K20" s="288"/>
      <c r="L20" s="298"/>
      <c r="M20" s="299"/>
      <c r="N20" s="300"/>
      <c r="O20" s="298"/>
      <c r="P20" s="299"/>
      <c r="Q20" s="300"/>
      <c r="R20" s="298"/>
      <c r="S20" s="299"/>
      <c r="T20" s="300"/>
      <c r="U20" s="298"/>
      <c r="V20" s="299"/>
      <c r="W20" s="300"/>
      <c r="X20" s="298"/>
      <c r="Y20" s="299"/>
      <c r="Z20" s="300"/>
      <c r="AA20" s="298"/>
      <c r="AB20" s="299"/>
      <c r="AC20" s="300"/>
      <c r="AD20" s="298"/>
      <c r="AE20" s="299"/>
      <c r="AF20" s="300"/>
      <c r="AG20" s="290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4"/>
      <c r="AT20" s="58"/>
      <c r="AU20" s="58"/>
    </row>
    <row r="21" spans="1:47" x14ac:dyDescent="0.25">
      <c r="A21" s="60" t="s">
        <v>42</v>
      </c>
      <c r="B21" s="298"/>
      <c r="C21" s="299"/>
      <c r="D21" s="300"/>
      <c r="E21" s="298"/>
      <c r="F21" s="299"/>
      <c r="G21" s="300"/>
      <c r="H21" s="298"/>
      <c r="I21" s="299"/>
      <c r="J21" s="300"/>
      <c r="K21" s="288"/>
      <c r="L21" s="298"/>
      <c r="M21" s="299"/>
      <c r="N21" s="300"/>
      <c r="O21" s="298"/>
      <c r="P21" s="299"/>
      <c r="Q21" s="300"/>
      <c r="R21" s="298"/>
      <c r="S21" s="299"/>
      <c r="T21" s="300"/>
      <c r="U21" s="298"/>
      <c r="V21" s="299"/>
      <c r="W21" s="300"/>
      <c r="X21" s="298"/>
      <c r="Y21" s="299"/>
      <c r="Z21" s="300"/>
      <c r="AA21" s="298"/>
      <c r="AB21" s="299"/>
      <c r="AC21" s="300"/>
      <c r="AD21" s="298"/>
      <c r="AE21" s="299"/>
      <c r="AF21" s="300"/>
      <c r="AG21" s="290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4"/>
      <c r="AT21" s="5"/>
      <c r="AU21" s="5"/>
    </row>
    <row r="22" spans="1:47" ht="13.8" thickBot="1" x14ac:dyDescent="0.3">
      <c r="A22" s="11"/>
      <c r="B22" s="301" t="s">
        <v>43</v>
      </c>
      <c r="C22" s="302"/>
      <c r="D22" s="303"/>
      <c r="E22" s="301" t="str">
        <f>IF(AL8&gt;1,"Match 2","")</f>
        <v>Match 2</v>
      </c>
      <c r="F22" s="302"/>
      <c r="G22" s="303"/>
      <c r="H22" s="301" t="str">
        <f>IF(AL8&gt;2,"Match 3","")</f>
        <v>Match 3</v>
      </c>
      <c r="I22" s="302"/>
      <c r="J22" s="303"/>
      <c r="K22" s="288"/>
      <c r="L22" s="301" t="str">
        <f>IF(AL8&gt;3,"Match 4","")</f>
        <v>Match 4</v>
      </c>
      <c r="M22" s="302"/>
      <c r="N22" s="303"/>
      <c r="O22" s="301" t="str">
        <f>IF(AL8&gt;4,"Match 5","")</f>
        <v>Match 5</v>
      </c>
      <c r="P22" s="302"/>
      <c r="Q22" s="303"/>
      <c r="R22" s="301" t="str">
        <f>IF(AL8&gt;5,"Match 6","")</f>
        <v>Match 6</v>
      </c>
      <c r="S22" s="302"/>
      <c r="T22" s="303"/>
      <c r="U22" s="301" t="str">
        <f>IF(AL8&gt;6,"Match 7","")</f>
        <v/>
      </c>
      <c r="V22" s="302"/>
      <c r="W22" s="303"/>
      <c r="X22" s="301" t="str">
        <f>IF(AL8&gt;7,"Match 8","")</f>
        <v/>
      </c>
      <c r="Y22" s="302"/>
      <c r="Z22" s="303"/>
      <c r="AA22" s="301" t="str">
        <f>IF(AL8&gt;8,"Match 9","")</f>
        <v/>
      </c>
      <c r="AB22" s="302"/>
      <c r="AC22" s="303"/>
      <c r="AD22" s="301" t="str">
        <f>IF(AL8&gt;9,"Match 10","")</f>
        <v/>
      </c>
      <c r="AE22" s="302"/>
      <c r="AF22" s="303"/>
      <c r="AG22" s="295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7"/>
      <c r="AT22" s="58"/>
      <c r="AU22" s="58"/>
    </row>
    <row r="23" spans="1:47" ht="15.6" x14ac:dyDescent="0.3">
      <c r="A23" s="11"/>
      <c r="B23" s="304" t="s">
        <v>44</v>
      </c>
      <c r="C23" s="305"/>
      <c r="D23" s="306"/>
      <c r="E23" s="304" t="s">
        <v>45</v>
      </c>
      <c r="F23" s="305"/>
      <c r="G23" s="306"/>
      <c r="H23" s="304" t="s">
        <v>46</v>
      </c>
      <c r="I23" s="305"/>
      <c r="J23" s="306"/>
      <c r="K23" s="288"/>
      <c r="L23" s="304" t="s">
        <v>47</v>
      </c>
      <c r="M23" s="305"/>
      <c r="N23" s="306"/>
      <c r="O23" s="304" t="s">
        <v>45</v>
      </c>
      <c r="P23" s="305"/>
      <c r="Q23" s="306"/>
      <c r="R23" s="304" t="s">
        <v>46</v>
      </c>
      <c r="S23" s="305"/>
      <c r="T23" s="306"/>
      <c r="U23" s="304"/>
      <c r="V23" s="305"/>
      <c r="W23" s="306"/>
      <c r="X23" s="304"/>
      <c r="Y23" s="305"/>
      <c r="Z23" s="306"/>
      <c r="AA23" s="304"/>
      <c r="AB23" s="305"/>
      <c r="AC23" s="306"/>
      <c r="AD23" s="304"/>
      <c r="AE23" s="305"/>
      <c r="AF23" s="306"/>
      <c r="AG23" s="61" t="s">
        <v>48</v>
      </c>
      <c r="AH23" s="62">
        <v>1</v>
      </c>
      <c r="AI23" s="62">
        <v>2</v>
      </c>
      <c r="AJ23" s="62">
        <v>3</v>
      </c>
      <c r="AK23" s="62">
        <v>4</v>
      </c>
      <c r="AL23" s="62">
        <v>5</v>
      </c>
      <c r="AM23" s="62">
        <v>6</v>
      </c>
      <c r="AN23" s="62">
        <v>7</v>
      </c>
      <c r="AO23" s="62">
        <v>8</v>
      </c>
      <c r="AP23" s="62">
        <v>9</v>
      </c>
      <c r="AQ23" s="62">
        <v>10</v>
      </c>
      <c r="AR23" s="63" t="s">
        <v>49</v>
      </c>
      <c r="AT23" s="58"/>
      <c r="AU23" s="58"/>
    </row>
    <row r="24" spans="1:47" ht="15.6" x14ac:dyDescent="0.3">
      <c r="A24" s="11"/>
      <c r="B24" s="64">
        <v>2</v>
      </c>
      <c r="C24" s="65" t="s">
        <v>50</v>
      </c>
      <c r="D24" s="66">
        <v>3</v>
      </c>
      <c r="E24" s="64">
        <v>1</v>
      </c>
      <c r="F24" s="65" t="str">
        <f>IF(AL8&gt;1,"v","")</f>
        <v>v</v>
      </c>
      <c r="G24" s="66">
        <v>4</v>
      </c>
      <c r="H24" s="64">
        <v>2</v>
      </c>
      <c r="I24" s="65" t="str">
        <f>IF(AL8&gt;2,"v","")</f>
        <v>v</v>
      </c>
      <c r="J24" s="66">
        <v>4</v>
      </c>
      <c r="K24" s="288"/>
      <c r="L24" s="64">
        <v>1</v>
      </c>
      <c r="M24" s="65" t="str">
        <f>IF(AL8&gt;3,"v","")</f>
        <v>v</v>
      </c>
      <c r="N24" s="66">
        <v>3</v>
      </c>
      <c r="O24" s="64">
        <v>3</v>
      </c>
      <c r="P24" s="65" t="str">
        <f>IF(AL8&gt;4,"v","")</f>
        <v>v</v>
      </c>
      <c r="Q24" s="66">
        <v>4</v>
      </c>
      <c r="R24" s="64">
        <v>1</v>
      </c>
      <c r="S24" s="65" t="str">
        <f>IF(AL8&gt;5,"v","")</f>
        <v>v</v>
      </c>
      <c r="T24" s="66">
        <v>2</v>
      </c>
      <c r="U24" s="64"/>
      <c r="V24" s="65" t="str">
        <f>IF(AL8&gt;6,"v","")</f>
        <v/>
      </c>
      <c r="W24" s="66"/>
      <c r="X24" s="64"/>
      <c r="Y24" s="65" t="str">
        <f>IF(AL8&gt;7,"v","")</f>
        <v/>
      </c>
      <c r="Z24" s="66"/>
      <c r="AA24" s="64"/>
      <c r="AB24" s="65" t="str">
        <f>IF(AL8&gt;8,"v","")</f>
        <v/>
      </c>
      <c r="AC24" s="66"/>
      <c r="AD24" s="64"/>
      <c r="AE24" s="65" t="str">
        <f>IF(AL8&gt;9,"v","")</f>
        <v/>
      </c>
      <c r="AF24" s="66"/>
      <c r="AG24" s="67" t="str">
        <f>IF(AL9&gt;0,"Team 1","")</f>
        <v>Team 1</v>
      </c>
      <c r="AH24" s="68" t="str">
        <f>IF(AL9&lt;1,"",IF(AL8&lt;1,"",IF(B24=1,B30-D30,IF(D24=1,D30-B30,""))))</f>
        <v/>
      </c>
      <c r="AI24" s="68">
        <f>IF(AL9&lt;1,"",IF(AL8&lt;2,"",IF(E24=1,E30-G30,IF(G24=1,G30-E30,""))))</f>
        <v>3</v>
      </c>
      <c r="AJ24" s="68" t="str">
        <f>IF(AL9&lt;1,"",IF(AL8&lt;3,"",IF(H24=1,H30-J30,IF(J24=1,J30-H30,""))))</f>
        <v/>
      </c>
      <c r="AK24" s="68">
        <f>IF(AL9&lt;1,"",IF(AL8&lt;4,"",IF(L24=1,L30-N30,IF(N24=1,N30-L30,""))))</f>
        <v>-7</v>
      </c>
      <c r="AL24" s="68" t="str">
        <f>IF(AL9&lt;1,"",IF(AL8&lt;5,"",IF(O24=1,O30-Q30,IF(Q24=1,Q30-O30,""))))</f>
        <v/>
      </c>
      <c r="AM24" s="68">
        <f>IF(AL9&lt;1,"",IF(AL8&lt;6,"",IF(R24=1,R30-T30,IF(T24=1,T30-R30,""))))</f>
        <v>11</v>
      </c>
      <c r="AN24" s="68" t="str">
        <f>IF(AL9&lt;1,"",IF(AL8&lt;7,"",IF(U24=1,U30-W30,IF(W24=1,W30-U30,""))))</f>
        <v/>
      </c>
      <c r="AO24" s="68" t="str">
        <f>IF(AL9&lt;1,"",IF(AL8&lt;8,"",IF(X24=1,X30-Z30,IF(Z24=1,Z30-X30,""))))</f>
        <v/>
      </c>
      <c r="AP24" s="68" t="str">
        <f>IF(AL9&lt;1,"",IF(AL8&lt;9,"",IF(AA24=1,AA30-AC30,IF(AC24=1,AC30-AA30,""))))</f>
        <v/>
      </c>
      <c r="AQ24" s="68" t="str">
        <f>IF(AL9&lt;1,"",IF(AL8&lt;10,"",IF(AD24=1,AD30-AF30,IF(AF24=1,AF30-AD30,""))))</f>
        <v/>
      </c>
      <c r="AR24" s="63">
        <f>SUM(AH24:AQ24)</f>
        <v>7</v>
      </c>
      <c r="AT24" s="58"/>
      <c r="AU24" s="58"/>
    </row>
    <row r="25" spans="1:47" ht="15" x14ac:dyDescent="0.25">
      <c r="A25" t="s">
        <v>51</v>
      </c>
      <c r="B25" s="69">
        <v>14</v>
      </c>
      <c r="C25" s="70" t="s">
        <v>52</v>
      </c>
      <c r="D25" s="71">
        <v>20</v>
      </c>
      <c r="E25" s="69">
        <v>22</v>
      </c>
      <c r="F25" s="70" t="str">
        <f>IF(AL8&gt;1,"/","")</f>
        <v>/</v>
      </c>
      <c r="G25" s="71">
        <v>19</v>
      </c>
      <c r="H25" s="69">
        <v>15</v>
      </c>
      <c r="I25" s="70" t="str">
        <f>IF(AL8&gt;2,"/","")</f>
        <v>/</v>
      </c>
      <c r="J25" s="71">
        <v>23</v>
      </c>
      <c r="K25" s="288"/>
      <c r="L25" s="69">
        <v>16</v>
      </c>
      <c r="M25" s="70" t="str">
        <f>IF(AL8&gt;3,"/","")</f>
        <v>/</v>
      </c>
      <c r="N25" s="71">
        <v>23</v>
      </c>
      <c r="O25" s="69">
        <v>24</v>
      </c>
      <c r="P25" s="70" t="str">
        <f>IF(AL8&gt;4,"/","")</f>
        <v>/</v>
      </c>
      <c r="Q25" s="71">
        <v>14</v>
      </c>
      <c r="R25" s="69">
        <v>24</v>
      </c>
      <c r="S25" s="70" t="str">
        <f>IF(AL8&gt;5,"/","")</f>
        <v>/</v>
      </c>
      <c r="T25" s="71">
        <v>13</v>
      </c>
      <c r="U25" s="69"/>
      <c r="V25" s="70" t="str">
        <f>IF(AL8&gt;6,"/","")</f>
        <v/>
      </c>
      <c r="W25" s="71"/>
      <c r="X25" s="69"/>
      <c r="Y25" s="70" t="str">
        <f>IF(AL8&gt;7,"/","")</f>
        <v/>
      </c>
      <c r="Z25" s="71"/>
      <c r="AA25" s="69"/>
      <c r="AB25" s="70" t="str">
        <f>IF(AL8&gt;8,"/","")</f>
        <v/>
      </c>
      <c r="AC25" s="71"/>
      <c r="AD25" s="69"/>
      <c r="AE25" s="70" t="str">
        <f>IF(AL8&gt;9,"/","")</f>
        <v/>
      </c>
      <c r="AF25" s="71"/>
      <c r="AG25" s="67" t="str">
        <f>IF(AL9&gt;1,"Team 2","")</f>
        <v>Team 2</v>
      </c>
      <c r="AH25" s="68">
        <f>IF(AL9&lt;2,"",IF(AL8&lt;1,"",IF(B24=2,B30-D30,IF(D24=2,D30-B30,""))))</f>
        <v>-6</v>
      </c>
      <c r="AI25" s="68" t="str">
        <f>IF(AL9&lt;2,"",IF(AL8&lt;2,"",IF(E24=2,E30-G30,IF(G24=2,G30-E30,""))))</f>
        <v/>
      </c>
      <c r="AJ25" s="68">
        <f>IF(AL9&lt;2,"",IF(AL8&lt;3,"",IF(H24=2,H30-J30,IF(J24=2,J30-H30,""))))</f>
        <v>-8</v>
      </c>
      <c r="AK25" s="68" t="str">
        <f>IF(AL9&lt;2,"",IF(AL8&lt;4,"",IF(L24=2,L30-N30,IF(N24=2,N30-L30,""))))</f>
        <v/>
      </c>
      <c r="AL25" s="68" t="str">
        <f>IF(AL9&lt;2,"",IF(AL8&lt;5,"",IF(O24=2,O30-Q30,IF(Q24=2,Q30-O30,""))))</f>
        <v/>
      </c>
      <c r="AM25" s="68">
        <f>IF(AL9&lt;2,"",IF(AL8&lt;6,"",IF(R24=2,R30-T30,IF(T24=2,T30-R30,""))))</f>
        <v>-11</v>
      </c>
      <c r="AN25" s="68" t="str">
        <f>IF(AL9&lt;2,"",IF(AL8&lt;7,"",IF(U24=2,U30-W30,IF(W24=2,W30-U30,""))))</f>
        <v/>
      </c>
      <c r="AO25" s="68" t="str">
        <f>IF(AL9&lt;2,"",IF(AL8&lt;8,"",IF(X24=2,X30-Z30,IF(Z24=2,Z30-X30,""))))</f>
        <v/>
      </c>
      <c r="AP25" s="68" t="str">
        <f>IF(AL9&lt;2,"",IF(AL8&lt;9,"",IF(AA24=2,AA30-AC30,IF(AC24=2,AC30-AA30,""))))</f>
        <v/>
      </c>
      <c r="AQ25" s="68" t="str">
        <f>IF(AL9&lt;2,"",IF(AL8&lt;10,"",IF(AD24=2,AD30-AF30,IF(AF24=2,AF30-AD30,""))))</f>
        <v/>
      </c>
      <c r="AR25" s="63">
        <f>SUM(AH25:AQ25)</f>
        <v>-25</v>
      </c>
    </row>
    <row r="26" spans="1:47" ht="15" x14ac:dyDescent="0.25">
      <c r="A26" s="3" t="str">
        <f>IF(AL7&gt;1,"Game 2","")</f>
        <v/>
      </c>
      <c r="B26" s="69"/>
      <c r="C26" s="70" t="s">
        <v>52</v>
      </c>
      <c r="D26" s="71"/>
      <c r="E26" s="69"/>
      <c r="F26" s="70" t="str">
        <f>IF(AL8&gt;1,IF(AL7&gt;1,"/",""),"")</f>
        <v/>
      </c>
      <c r="G26" s="71"/>
      <c r="H26" s="69"/>
      <c r="I26" s="70" t="str">
        <f>IF(AL8&gt;2,IF(AL7&gt;1,"/",""),"")</f>
        <v/>
      </c>
      <c r="J26" s="71"/>
      <c r="K26" s="288"/>
      <c r="L26" s="69"/>
      <c r="M26" s="70" t="str">
        <f>IF(AL8&gt;3,IF(AL7&gt;1,"/",""),"")</f>
        <v/>
      </c>
      <c r="N26" s="71"/>
      <c r="O26" s="69"/>
      <c r="P26" s="70" t="str">
        <f>IF(AL8&gt;4,IF(AL7&gt;1,"/",""),"")</f>
        <v/>
      </c>
      <c r="Q26" s="71"/>
      <c r="R26" s="69"/>
      <c r="S26" s="70" t="str">
        <f>IF(AL8&gt;5,IF(AL7&gt;1,"/",""),"")</f>
        <v/>
      </c>
      <c r="T26" s="71"/>
      <c r="U26" s="69"/>
      <c r="V26" s="70" t="str">
        <f>IF(AL8&gt;6,IF(AL7&gt;1,"/",""),"")</f>
        <v/>
      </c>
      <c r="W26" s="71"/>
      <c r="X26" s="69"/>
      <c r="Y26" s="70" t="str">
        <f>IF(AL8&gt;7,IF(AL7&gt;1,"/",""),"")</f>
        <v/>
      </c>
      <c r="Z26" s="71"/>
      <c r="AA26" s="69"/>
      <c r="AB26" s="70" t="str">
        <f>IF(AL8&gt;8,IF(AL7&gt;1,"/",""),"")</f>
        <v/>
      </c>
      <c r="AC26" s="71"/>
      <c r="AD26" s="69"/>
      <c r="AE26" s="70" t="str">
        <f>IF(AL8&gt;9,IF(AL7&gt;1,"/",""),"")</f>
        <v/>
      </c>
      <c r="AF26" s="71"/>
      <c r="AG26" s="67" t="str">
        <f>IF(AL9&gt;2,"Team 3","")</f>
        <v>Team 3</v>
      </c>
      <c r="AH26" s="68">
        <f>IF(AL9&lt;3,"",IF(AL8&lt;1,"",IF(B24=3,B30-D30,IF(D24=3,D30-B30,""))))</f>
        <v>6</v>
      </c>
      <c r="AI26" s="68" t="str">
        <f>IF(AL9&lt;3,"",IF(AL8&lt;2,"",IF(E24=3,E30-G30,IF(G24=3,G30-E30,""))))</f>
        <v/>
      </c>
      <c r="AJ26" s="68" t="str">
        <f>IF(AL9&lt;3,"",IF(AL8&lt;3,"",IF(H24=3,H30-J30,IF(J24=3,J30-H30,""))))</f>
        <v/>
      </c>
      <c r="AK26" s="68">
        <f>IF(AL9&lt;3,"",IF(AL8&lt;4,"",IF(L24=3,L30-N30,IF(N24=3,N30-L30,""))))</f>
        <v>7</v>
      </c>
      <c r="AL26" s="68">
        <f>IF(AL9&lt;3,"",IF(AL8&lt;5,"",IF(O24=3,O30-Q30,IF(Q24=3,Q30-O30,""))))</f>
        <v>10</v>
      </c>
      <c r="AM26" s="68" t="str">
        <f>IF(AL9&lt;3,"",IF(AL8&lt;6,"",IF(R24=3,R30-T30,IF(T24=3,T30-R30,""))))</f>
        <v/>
      </c>
      <c r="AN26" s="68" t="str">
        <f>IF(AL9&lt;3,"",IF(AL8&lt;7,"",IF(U24=3,U30-W30,IF(W24=3,W30-U30,""))))</f>
        <v/>
      </c>
      <c r="AO26" s="68" t="str">
        <f>IF(AL9&lt;3,"",IF(AL8&lt;8,"",IF(X24=3,X30-Z30,IF(Z24=3,Z30-X30,""))))</f>
        <v/>
      </c>
      <c r="AP26" s="68" t="str">
        <f>IF(AL9&lt;3,"",IF(AL8&lt;9,"",IF(AA24=3,AA30-AC30,IF(AC24=3,AC30-AA30,""))))</f>
        <v/>
      </c>
      <c r="AQ26" s="68" t="str">
        <f>IF(AL9&lt;3,"",IF(AL8&lt;9,"",IF(AD24=3,AD30-AF30,IF(AF24=3,AF30-AD30,""))))</f>
        <v/>
      </c>
      <c r="AR26" s="63">
        <f>SUM(AH26:AQ26)</f>
        <v>23</v>
      </c>
    </row>
    <row r="27" spans="1:47" ht="15" x14ac:dyDescent="0.25">
      <c r="A27" s="3" t="str">
        <f>IF(AL7&gt;2,"Game 3","")</f>
        <v/>
      </c>
      <c r="B27" s="69"/>
      <c r="C27" s="70" t="s">
        <v>52</v>
      </c>
      <c r="D27" s="71"/>
      <c r="E27" s="69"/>
      <c r="F27" s="70" t="str">
        <f>IF(AL8&gt;1,IF(AL7&gt;2,"/",""),"")</f>
        <v/>
      </c>
      <c r="G27" s="71"/>
      <c r="H27" s="69"/>
      <c r="I27" s="70" t="str">
        <f>IF(AL8&gt;2,IF(AL7&gt;2,"/",""),"")</f>
        <v/>
      </c>
      <c r="J27" s="71"/>
      <c r="K27" s="288"/>
      <c r="L27" s="69"/>
      <c r="M27" s="70" t="str">
        <f>IF(AL8&gt;3,IF(AL7&gt;2,"/",""),"")</f>
        <v/>
      </c>
      <c r="N27" s="71"/>
      <c r="O27" s="69"/>
      <c r="P27" s="70" t="str">
        <f>IF(AL8&gt;4,IF(AL7&gt;2,"/",""),"")</f>
        <v/>
      </c>
      <c r="Q27" s="71"/>
      <c r="R27" s="69"/>
      <c r="S27" s="70" t="str">
        <f>IF(AL8&gt;5,IF(AL7&gt;2,"/",""),"")</f>
        <v/>
      </c>
      <c r="T27" s="71"/>
      <c r="U27" s="69"/>
      <c r="V27" s="70" t="str">
        <f>IF(AL8&gt;6,IF(AL7&gt;2,"/",""),"")</f>
        <v/>
      </c>
      <c r="W27" s="71"/>
      <c r="X27" s="69"/>
      <c r="Y27" s="70" t="str">
        <f>IF(AL8&gt;7,IF(AL7&gt;2,"/",""),"")</f>
        <v/>
      </c>
      <c r="Z27" s="71"/>
      <c r="AA27" s="69"/>
      <c r="AB27" s="70" t="str">
        <f>IF(AL8&gt;8,IF(AL7&gt;2,"/",""),"")</f>
        <v/>
      </c>
      <c r="AC27" s="71"/>
      <c r="AD27" s="69"/>
      <c r="AE27" s="70" t="str">
        <f>IF(AL8&gt;9,IF(AL7&gt;2,"/",""),"")</f>
        <v/>
      </c>
      <c r="AF27" s="71"/>
      <c r="AG27" s="67" t="str">
        <f>IF(AL9&gt;3,"Team 4","")</f>
        <v>Team 4</v>
      </c>
      <c r="AH27" s="68" t="str">
        <f>IF(AL9&lt;4,"",IF(AL8&lt;1,"",IF(B24=4,B30-D30,IF(D24=4,D30-B30,""))))</f>
        <v/>
      </c>
      <c r="AI27" s="68">
        <f>IF(AL9&lt;4,"",IF(AL8&lt;2,"",IF(E24=4,E30-G30,IF(G24=4,G30-E30,""))))</f>
        <v>-3</v>
      </c>
      <c r="AJ27" s="68">
        <f>IF(AL9&lt;4,"",IF(AL8&lt;3,"",IF(H24=4,H30-J30,IF(J24=4,J30-H30,""))))</f>
        <v>8</v>
      </c>
      <c r="AK27" s="68" t="str">
        <f>IF(AL9&lt;4,"",IF(AL8&lt;4,"",IF(L24=4,L30-N30,IF(N24=4,N30-L30,""))))</f>
        <v/>
      </c>
      <c r="AL27" s="68">
        <f>IF(AL9&lt;4,"",IF(AL8&lt;5,"",IF(O24=4,O30-Q30,IF(Q24=4,Q30-O30,""))))</f>
        <v>-10</v>
      </c>
      <c r="AM27" s="68" t="str">
        <f>IF(AL9&lt;4,"",IF(AL8&lt;6,"",IF(R24=4,R30-T30,IF(T24=4,T30-R30,""))))</f>
        <v/>
      </c>
      <c r="AN27" s="68" t="str">
        <f>IF(AL9&lt;4,"",IF(AL8&lt;7,"",IF(U24=4,U30-W30,IF(W24=4,W30-U30,""))))</f>
        <v/>
      </c>
      <c r="AO27" s="68" t="str">
        <f>IF(AL9&lt;4,"",IF(AL8&lt;8,"",IF(X24=4,X30-Z30,IF(Z24=4,Z30-X30,""))))</f>
        <v/>
      </c>
      <c r="AP27" s="68" t="str">
        <f>IF(AL9&lt;4,"",IF(AL8&lt;9,"",IF(AA24=4,AA30-AC30,IF(AC24=4,AC30-AA30,""))))</f>
        <v/>
      </c>
      <c r="AQ27" s="68" t="str">
        <f>IF(AL9&lt;4,"",IF(AL8&lt;10,"",IF(AD24=4,AD30-AF30,IF(AF24=4,AF30-AD30,""))))</f>
        <v/>
      </c>
      <c r="AR27" s="63">
        <f>SUM(AH27:AQ27)</f>
        <v>-5</v>
      </c>
    </row>
    <row r="28" spans="1:47" ht="15" x14ac:dyDescent="0.25">
      <c r="A28" s="3" t="str">
        <f>IF(AL7&gt;3,"Game 4","")</f>
        <v/>
      </c>
      <c r="B28" s="69"/>
      <c r="C28" s="70" t="s">
        <v>52</v>
      </c>
      <c r="D28" s="71"/>
      <c r="E28" s="69"/>
      <c r="F28" s="70" t="str">
        <f>IF(AL8&gt;1,IF(AL7&gt;3,"/",""),"")</f>
        <v/>
      </c>
      <c r="G28" s="71"/>
      <c r="H28" s="69"/>
      <c r="I28" s="70" t="str">
        <f>IF(AL8&gt;2,IF(AL7&gt;3,"/",""),"")</f>
        <v/>
      </c>
      <c r="J28" s="71"/>
      <c r="K28" s="288"/>
      <c r="L28" s="69"/>
      <c r="M28" s="70" t="str">
        <f>IF(AL8&gt;3,IF(AL7&gt;3,"/",""),"")</f>
        <v/>
      </c>
      <c r="N28" s="71"/>
      <c r="O28" s="69"/>
      <c r="P28" s="70" t="str">
        <f>IF(AL8&gt;4,IF(AL7&gt;3,"/",""),"")</f>
        <v/>
      </c>
      <c r="Q28" s="71"/>
      <c r="R28" s="69"/>
      <c r="S28" s="70" t="str">
        <f>IF(AL8&gt;5,IF(AL7&gt;3,"/",""),"")</f>
        <v/>
      </c>
      <c r="T28" s="71"/>
      <c r="U28" s="69"/>
      <c r="V28" s="70" t="str">
        <f>IF(AL8&gt;6,IF(AL7&gt;3,"/",""),"")</f>
        <v/>
      </c>
      <c r="W28" s="71"/>
      <c r="X28" s="69"/>
      <c r="Y28" s="70" t="str">
        <f>IF(AL8&gt;7,IF(AL7&gt;3,"/",""),"")</f>
        <v/>
      </c>
      <c r="Z28" s="71"/>
      <c r="AA28" s="69"/>
      <c r="AB28" s="70" t="str">
        <f>IF(AL8&gt;8,IF(AL7&gt;3,"/",""),"")</f>
        <v/>
      </c>
      <c r="AC28" s="71"/>
      <c r="AD28" s="69"/>
      <c r="AE28" s="70" t="str">
        <f>IF(AL8&gt;9,IF(AL7&gt;3,"/",""),"")</f>
        <v/>
      </c>
      <c r="AF28" s="71"/>
      <c r="AG28" s="67" t="str">
        <f>IF(AL9&gt;4,"Team 5","")</f>
        <v/>
      </c>
      <c r="AH28" s="72" t="str">
        <f>IF(AL9&lt;5,"",IF(AL8&lt;1,"",IF(B24=5,B30-D30,IF(D24=5,D30-B30,""))))</f>
        <v/>
      </c>
      <c r="AI28" s="68" t="str">
        <f>IF(AL9&lt;5,"",IF(AL8&lt;2,"",IF(E24=5,E30-G30,IF(G24=5,G30-E30,""))))</f>
        <v/>
      </c>
      <c r="AJ28" s="68" t="str">
        <f>IF(AL9&lt;5,"",IF(AL8&lt;3,"",IF(H24=5,H30-J30,IF(J24=5,J30-H30,""))))</f>
        <v/>
      </c>
      <c r="AK28" s="68" t="str">
        <f>IF(AL9&lt;5,"",IF(AL8&lt;4,"",IF(L24=5,L30-N30,IF(N24=5,N30-L30,""))))</f>
        <v/>
      </c>
      <c r="AL28" s="68" t="str">
        <f>IF(AL9&lt;5,"",IF(AL8&lt;5,"",IF(O24=5,O30-Q30,IF(Q24=5,Q30-O30,""))))</f>
        <v/>
      </c>
      <c r="AM28" s="68" t="str">
        <f>IF(AL9&lt;5,"",IF(AL8&lt;6,"",IF(R24=5,R30-T30,IF(T24=5,T30-R30,""))))</f>
        <v/>
      </c>
      <c r="AN28" s="68" t="str">
        <f>IF(AL9&lt;5,"",IF(AL8&lt;7,"",IF(U24=5,U30-W30,IF(W24=5,W30-U30,""))))</f>
        <v/>
      </c>
      <c r="AO28" s="68" t="str">
        <f>IF(AL9&lt;5,"",IF(AL8&lt;8,"",IF(X24=5,X30-Z30,IF(Z24=5,Z30-X30,""))))</f>
        <v/>
      </c>
      <c r="AP28" s="68" t="str">
        <f>IF(AL9&lt;5,"",IF(AL8&lt;9,"",IF(AA24=5,AA30-AC30,IF(AC24=5,AC30-AA30,""))))</f>
        <v/>
      </c>
      <c r="AQ28" s="68" t="str">
        <f>IF(AL9&lt;5,"",IF(AL8&lt;10,"",IF(AD24=5,AD30-AF30,IF(AF24=5,AF30-AD30,""))))</f>
        <v/>
      </c>
      <c r="AR28" s="63">
        <f>SUM(AH28:AQ28)</f>
        <v>0</v>
      </c>
    </row>
    <row r="29" spans="1:47" ht="15" x14ac:dyDescent="0.25">
      <c r="A29" s="3" t="str">
        <f>IF(AL7&gt;4,"Game 5","")</f>
        <v/>
      </c>
      <c r="B29" s="69"/>
      <c r="C29" s="70" t="s">
        <v>52</v>
      </c>
      <c r="D29" s="71"/>
      <c r="E29" s="69"/>
      <c r="F29" s="70" t="str">
        <f>IF(AL8&gt;1,IF(AL7&gt;4,"/",""),"")</f>
        <v/>
      </c>
      <c r="G29" s="71"/>
      <c r="H29" s="69"/>
      <c r="I29" s="70" t="str">
        <f>IF(AL8&gt;2,IF(AL7&gt;4,"/",""),"")</f>
        <v/>
      </c>
      <c r="J29" s="71"/>
      <c r="K29" s="289"/>
      <c r="L29" s="69"/>
      <c r="M29" s="70" t="str">
        <f>IF(AL8&gt;3,IF(AL7&gt;4,"/",""),"")</f>
        <v/>
      </c>
      <c r="N29" s="71"/>
      <c r="O29" s="69"/>
      <c r="P29" s="70" t="str">
        <f>IF(AL8&gt;4,IF(AL7&gt;4,"/",""),"")</f>
        <v/>
      </c>
      <c r="Q29" s="71"/>
      <c r="R29" s="69"/>
      <c r="S29" s="70" t="str">
        <f>IF(AL8&gt;5,IF(AL7&gt;4,"/",""),"")</f>
        <v/>
      </c>
      <c r="T29" s="71"/>
      <c r="U29" s="69"/>
      <c r="V29" s="70" t="str">
        <f>IF(AL8&gt;6,IF(AL7&gt;4,"/",""),"")</f>
        <v/>
      </c>
      <c r="W29" s="71"/>
      <c r="X29" s="69"/>
      <c r="Y29" s="70" t="str">
        <f>IF(AL8&gt;7,IF(AL7&gt;4,"/",""),"")</f>
        <v/>
      </c>
      <c r="Z29" s="71"/>
      <c r="AA29" s="69"/>
      <c r="AB29" s="70" t="str">
        <f>IF(AL8&gt;8,IF(AL7&gt;4,"/",""),"")</f>
        <v/>
      </c>
      <c r="AC29" s="71"/>
      <c r="AD29" s="69"/>
      <c r="AE29" s="70" t="str">
        <f>IF(AL8&gt;9,IF(AL7&gt;4,"/",""),"")</f>
        <v/>
      </c>
      <c r="AF29" s="7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</row>
    <row r="30" spans="1:47" hidden="1" x14ac:dyDescent="0.25">
      <c r="A30" s="73"/>
      <c r="B30" s="73">
        <f>IF($AL7=5,SUM(B25:B29),IF($AL7=4,SUM(B25:B28),IF($AL7=3,SUM(B25:B27),IF($AL7=2,SUM(B25:B26),B25))))</f>
        <v>14</v>
      </c>
      <c r="C30" s="73"/>
      <c r="D30" s="73">
        <f>IF($AL7=5,SUM(D25:D29),IF($AL7=4,SUM(D25:D28),IF($AL7=3,SUM(D25:D27),IF($AL7=2,SUM(D25:D26),D25))))</f>
        <v>20</v>
      </c>
      <c r="E30" s="73">
        <f>IF($AL7=5,SUM(E25:E29),IF($AL7=4,SUM(E25:E28),IF($AL7=3,SUM(E25:E27),IF($AL7=2,SUM(E25:E26),E25))))</f>
        <v>22</v>
      </c>
      <c r="F30" s="73"/>
      <c r="G30" s="73">
        <f>IF($AL7=5,SUM(G25:G29),IF($AL7=4,SUM(G25:G28),IF($AL7=3,SUM(G25:G27),IF($AL7=2,SUM(G25:G26),G25))))</f>
        <v>19</v>
      </c>
      <c r="H30" s="73">
        <f>IF($AL7=5,SUM(H25:H29),IF($AL7=4,SUM(H25:H28),IF($AL7=3,SUM(H25:H27),IF($AL7=2,SUM(H25:H26),H25))))</f>
        <v>15</v>
      </c>
      <c r="I30" s="73"/>
      <c r="J30" s="73">
        <f>IF($AL7=5,SUM(J25:J29),IF($AL7=4,SUM(J25:J28),IF($AL7=3,SUM(J25:J27),IF($AL7=2,SUM(J25:J26),J25))))</f>
        <v>23</v>
      </c>
      <c r="K30" s="73"/>
      <c r="L30" s="73">
        <f>IF($AL7=5,SUM(L25:L29),IF($AL7=4,SUM(L25:L28),IF($AL7=3,SUM(L25:L27),IF($AL7=2,SUM(L25:L26),L25))))</f>
        <v>16</v>
      </c>
      <c r="M30" s="73"/>
      <c r="N30" s="73">
        <f>IF($AL7=5,SUM(N25:N29),IF($AL7=4,SUM(N25:N28),IF($AL7=3,SUM(N25:N27),IF($AL7=2,SUM(N25:N26),N25))))</f>
        <v>23</v>
      </c>
      <c r="O30" s="73">
        <f>IF($AL7=5,SUM(O25:O29),IF($AL7=4,SUM(O25:O28),IF($AL7=3,SUM(O25:O27),IF($AL7=2,SUM(O25:O26),O25))))</f>
        <v>24</v>
      </c>
      <c r="P30" s="73"/>
      <c r="Q30" s="73">
        <f>IF($AL7=5,SUM(Q25:Q29),IF($AL7=4,SUM(Q25:Q28),IF($AL7=3,SUM(Q25:Q27),IF($AL7=2,SUM(Q25:Q26),Q25))))</f>
        <v>14</v>
      </c>
      <c r="R30" s="73">
        <f>IF($AL7=5,SUM(R25:R29),IF($AL7=4,SUM(R25:R28),IF($AL7=3,SUM(R25:R27),IF($AL7=2,SUM(R25:R26),R25))))</f>
        <v>24</v>
      </c>
      <c r="S30" s="73"/>
      <c r="T30" s="73">
        <f>IF($AL7=5,SUM(T25:T29),IF($AL7=4,SUM(T25:T28),IF($AL7=3,SUM(T25:T27),IF($AL7=2,SUM(T25:T26),T25))))</f>
        <v>13</v>
      </c>
      <c r="U30" s="73">
        <f>IF($AL7=5,SUM(U25:U29),IF($AL7=4,SUM(U25:U28),IF($AL7=3,SUM(U25:U27),IF($AL7=2,SUM(U25:U26),U25))))</f>
        <v>0</v>
      </c>
      <c r="V30" s="73"/>
      <c r="W30" s="73">
        <f>IF($AL7=5,SUM(W25:W29),IF($AL7=4,SUM(W25:W28),IF($AL7=3,SUM(W25:W27),IF($AL7=2,SUM(W25:W26),W25))))</f>
        <v>0</v>
      </c>
      <c r="X30" s="73">
        <f>IF($AL7=5,SUM(X25:X29),IF($AL7=4,SUM(X25:X28),IF($AL7=3,SUM(X25:X27),IF($AL7=2,SUM(X25:X26),X25))))</f>
        <v>0</v>
      </c>
      <c r="Y30" s="73"/>
      <c r="Z30" s="73">
        <f>IF($AL7=5,SUM(Z25:Z29),IF($AL7=4,SUM(Z25:Z28),IF($AL7=3,SUM(Z25:Z27),IF($AL7=2,SUM(Z25:Z26),Z25))))</f>
        <v>0</v>
      </c>
      <c r="AA30" s="73">
        <f>IF($AL7=5,SUM(AA25:AA29),IF($AL7=4,SUM(AA25:AA28),IF($AL7=3,SUM(AA25:AA27),IF($AL7=2,SUM(AA25:AA26),AA25))))</f>
        <v>0</v>
      </c>
      <c r="AB30" s="73"/>
      <c r="AC30" s="73">
        <f>IF($AL7=5,SUM(AC25:AC29),IF($AL7=4,SUM(AC25:AC28),IF($AL7=3,SUM(AC25:AC27),IF($AL7=2,SUM(AC25:AC26),AC25))))</f>
        <v>0</v>
      </c>
      <c r="AD30" s="73">
        <f>IF($AL7=5,SUM(AD25:AD29),IF($AL7=4,SUM(AD25:AD28),IF($AL7=3,SUM(AD25:AD27),IF($AL7=2,SUM(AD25:AD26),AD25))))</f>
        <v>0</v>
      </c>
      <c r="AE30" s="73"/>
      <c r="AF30" s="73">
        <f>IF($AL7=5,SUM(AF25:AF29),IF($AL7=4,SUM(AF25:AF28),IF($AL7=3,SUM(AF25:AF27),IF($AL7=2,SUM(AF25:AF26),AF25))))</f>
        <v>0</v>
      </c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</row>
    <row r="31" spans="1:47" s="74" customFormat="1" ht="12.75" hidden="1" customHeight="1" x14ac:dyDescent="0.25">
      <c r="A31" s="74" t="s">
        <v>53</v>
      </c>
      <c r="B31" s="75">
        <f>IF(AND(B25&gt;D25,$AL8&gt;0,ISNUMBER(B25),ISNUMBER(D25)),1,0)</f>
        <v>0</v>
      </c>
      <c r="C31" s="75"/>
      <c r="D31" s="76">
        <f>IF(AND(D25&gt;B25,$AL8&gt;0,ISNUMBER(B25),ISNUMBER(D25)),1,0)</f>
        <v>1</v>
      </c>
      <c r="E31" s="75">
        <f>IF(AND(E25&gt;G25,$AL8&gt;1,ISNUMBER(E25),ISNUMBER(G25)),1,0)</f>
        <v>1</v>
      </c>
      <c r="F31" s="75"/>
      <c r="G31" s="76">
        <f>IF(AND(G25&gt;E25,$AL8&gt;1,ISNUMBER(E25),ISNUMBER(G25)),1,0)</f>
        <v>0</v>
      </c>
      <c r="H31" s="75">
        <f>IF(AND(H25&gt;J25,$AL8&gt;2,ISNUMBER(H25),ISNUMBER(J25)),1,0)</f>
        <v>0</v>
      </c>
      <c r="I31" s="75"/>
      <c r="J31" s="76">
        <f>IF(AND(J25&gt;H25,$AL8&gt;2,ISNUMBER(H25),ISNUMBER(J25)),1,0)</f>
        <v>1</v>
      </c>
      <c r="K31" s="77"/>
      <c r="L31" s="75">
        <f>IF(AND(L25&gt;N25,$AL8&gt;3,ISNUMBER(L25),ISNUMBER(N25)),1,0)</f>
        <v>0</v>
      </c>
      <c r="M31" s="75"/>
      <c r="N31" s="76">
        <f>IF(AND(N25&gt;L25,$AL8&gt;3,ISNUMBER(L25),ISNUMBER(N25)),1,0)</f>
        <v>1</v>
      </c>
      <c r="O31" s="75">
        <f>IF(AND(O25&gt;Q25,$AL8&gt;4,ISNUMBER(O25),ISNUMBER(Q25)),1,0)</f>
        <v>1</v>
      </c>
      <c r="P31" s="75"/>
      <c r="Q31" s="76">
        <f>IF(AND(Q25&gt;O25,$AL8&gt;4,ISNUMBER(O25),ISNUMBER(Q25)),1,0)</f>
        <v>0</v>
      </c>
      <c r="R31" s="75">
        <f>IF(AND(R25&gt;T25,$AL8&gt;5,ISNUMBER(R25),ISNUMBER(T25)),1,0)</f>
        <v>1</v>
      </c>
      <c r="S31" s="75"/>
      <c r="T31" s="76">
        <f>IF(AND(T25&gt;R25,$AL8&gt;5,ISNUMBER(R25),ISNUMBER(T25)),1,0)</f>
        <v>0</v>
      </c>
      <c r="U31" s="75">
        <f>IF(AND(U25&gt;W25,$AL8&gt;6,ISNUMBER(U25),ISNUMBER(W25)),1,0)</f>
        <v>0</v>
      </c>
      <c r="V31" s="75"/>
      <c r="W31" s="76">
        <f>IF(AND(W25&gt;U25,$AL8&gt;6,ISNUMBER(U25),ISNUMBER(W25)),1,0)</f>
        <v>0</v>
      </c>
      <c r="X31" s="75">
        <f>IF(AND(X25&gt;Z25,$AL8&gt;7,ISNUMBER(X25),ISNUMBER(Z25)),1,0)</f>
        <v>0</v>
      </c>
      <c r="Y31" s="75"/>
      <c r="Z31" s="76">
        <f>IF(AND(Z25&gt;X25,$AL8&gt;7,ISNUMBER(X25),ISNUMBER(Z25)),1,0)</f>
        <v>0</v>
      </c>
      <c r="AA31" s="75">
        <f>IF(AND(AA25&gt;AC25,$AL8&gt;8,ISNUMBER(AA25),ISNUMBER(AC25)),1,0)</f>
        <v>0</v>
      </c>
      <c r="AB31" s="75"/>
      <c r="AC31" s="76">
        <f>IF(AND(AC25&gt;AA25,$AL8&gt;8,ISNUMBER(AA25),ISNUMBER(AC25)),1,0)</f>
        <v>0</v>
      </c>
      <c r="AD31" s="75">
        <f>IF(AND(AD25&gt;AF25,$AL8&gt;9,ISNUMBER(AD25),ISNUMBER(AF25)),1,0)</f>
        <v>0</v>
      </c>
      <c r="AE31" s="75"/>
      <c r="AF31" s="76">
        <f>IF(AND(AF25&gt;AD25,$AL8&gt;9,ISNUMBER(AD25),ISNUMBER(AF25)),1,0)</f>
        <v>0</v>
      </c>
    </row>
    <row r="32" spans="1:47" s="74" customFormat="1" ht="12.75" hidden="1" customHeight="1" x14ac:dyDescent="0.25">
      <c r="A32" s="74" t="s">
        <v>54</v>
      </c>
      <c r="B32" s="75">
        <f>IF(AND(B26&gt;D26,$AL8&gt;0,$AL7&gt;1,ISNUMBER(B26),ISNUMBER(D26)),1,0)</f>
        <v>0</v>
      </c>
      <c r="C32" s="75"/>
      <c r="D32" s="76">
        <f>IF(AND(D26&gt;B26,$AL8&gt;0,$AL7&gt;1,ISNUMBER(B26),ISNUMBER(D26)),1,0)</f>
        <v>0</v>
      </c>
      <c r="E32" s="75">
        <f>IF(AND(E26&gt;G26,$AL8&gt;1,$AL7&gt;1,ISNUMBER(E26),ISNUMBER(G26)),1,0)</f>
        <v>0</v>
      </c>
      <c r="F32" s="75"/>
      <c r="G32" s="76">
        <f>IF(AND(G26&gt;E26,$AL8&gt;1,$AL7&gt;1,ISNUMBER(E26),ISNUMBER(G26)),1,0)</f>
        <v>0</v>
      </c>
      <c r="H32" s="75">
        <f>IF(AND(H26&gt;J26,$AL8&gt;2,$AL7&gt;1,ISNUMBER(H26),ISNUMBER(J26)),1,0)</f>
        <v>0</v>
      </c>
      <c r="I32" s="75"/>
      <c r="J32" s="76">
        <f>IF(AND(J26&gt;H26,$AL8&gt;2,$AL7&gt;1,ISNUMBER(H26),ISNUMBER(J26)),1,0)</f>
        <v>0</v>
      </c>
      <c r="K32" s="77"/>
      <c r="L32" s="75">
        <f>IF(AND(L26&gt;N26,$AL8&gt;3,$AL7&gt;1,ISNUMBER(L26),ISNUMBER(N26)),1,0)</f>
        <v>0</v>
      </c>
      <c r="M32" s="75"/>
      <c r="N32" s="76">
        <f>IF(AND(N26&gt;L26,$AL8&gt;3,$AL7&gt;1,ISNUMBER(L26),ISNUMBER(N26)),1,0)</f>
        <v>0</v>
      </c>
      <c r="O32" s="75">
        <f>IF(AND(O26&gt;Q26,$AL8&gt;4,$AL7&gt;1,ISNUMBER(O26),ISNUMBER(Q26)),1,0)</f>
        <v>0</v>
      </c>
      <c r="P32" s="75"/>
      <c r="Q32" s="76">
        <f>IF(AND(Q26&gt;O26,$AL8&gt;4,$AL7&gt;1,ISNUMBER(O26),ISNUMBER(Q26)),1,0)</f>
        <v>0</v>
      </c>
      <c r="R32" s="75">
        <f>IF(AND(R26&gt;T26,$AL8&gt;5,$AL7&gt;1,ISNUMBER(R26),ISNUMBER(T26)),1,0)</f>
        <v>0</v>
      </c>
      <c r="S32" s="75"/>
      <c r="T32" s="76">
        <f>IF(AND(T26&gt;R26,$AL8&gt;5,$AL7&gt;1,ISNUMBER(R26),ISNUMBER(T26)),1,0)</f>
        <v>0</v>
      </c>
      <c r="U32" s="75">
        <f>IF(AND(U26&gt;W26,$AL8&gt;6,$AL7&gt;1,ISNUMBER(U26),ISNUMBER(W26)),1,0)</f>
        <v>0</v>
      </c>
      <c r="V32" s="75"/>
      <c r="W32" s="76">
        <f>IF(AND(W26&gt;U26,$AL8&gt;6,$AL7&gt;1,ISNUMBER(U26),ISNUMBER(W26)),1,0)</f>
        <v>0</v>
      </c>
      <c r="X32" s="75">
        <f>IF(AND(X26&gt;Z26,$AL8&gt;7,$AL7&gt;1,ISNUMBER(X26),ISNUMBER(Z26)),1,0)</f>
        <v>0</v>
      </c>
      <c r="Y32" s="75"/>
      <c r="Z32" s="76">
        <f>IF(AND(Z26&gt;X26,$AL8&gt;7,$AL7&gt;1,ISNUMBER(X26),ISNUMBER(Z26)),1,0)</f>
        <v>0</v>
      </c>
      <c r="AA32" s="75">
        <f>IF(AND(AA26&gt;AC26,$AL8&gt;8,$AL7&gt;1,ISNUMBER(AA26),ISNUMBER(AC26)),1,0)</f>
        <v>0</v>
      </c>
      <c r="AB32" s="75"/>
      <c r="AC32" s="76">
        <f>IF(AND(AC26&gt;AA26,$AL8&gt;8,$AL7&gt;1,ISNUMBER(AA26),ISNUMBER(AC26)),1,0)</f>
        <v>0</v>
      </c>
      <c r="AD32" s="75">
        <f>IF(AND(AD26&gt;AF26,$AL8&gt;9,$AL7&gt;1,ISNUMBER(AD26),ISNUMBER(AF26)),1,0)</f>
        <v>0</v>
      </c>
      <c r="AE32" s="75"/>
      <c r="AF32" s="76">
        <f>IF(AND(AF26&gt;AD26,$AL8&gt;9,$AL7&gt;1,ISNUMBER(AD26),ISNUMBER(AF26)),1,0)</f>
        <v>0</v>
      </c>
    </row>
    <row r="33" spans="1:34" s="74" customFormat="1" ht="12.75" hidden="1" customHeight="1" x14ac:dyDescent="0.25">
      <c r="A33" s="74" t="s">
        <v>55</v>
      </c>
      <c r="B33" s="75">
        <f>IF(AND(B27&gt;D27,$AL8&gt;0,$AL7&gt;2,ISNUMBER(B27),ISNUMBER(D27)),1,0)</f>
        <v>0</v>
      </c>
      <c r="C33" s="75"/>
      <c r="D33" s="76">
        <f>IF(AND(D27&gt;B27,$AL8&gt;0,$AL7&gt;2,ISNUMBER(B27),ISNUMBER(D27)),1,0)</f>
        <v>0</v>
      </c>
      <c r="E33" s="75">
        <f>IF(AND(E27&gt;G27,$AL8&gt;1,$AL7&gt;2,ISNUMBER(E27),ISNUMBER(G27)),1,0)</f>
        <v>0</v>
      </c>
      <c r="F33" s="75"/>
      <c r="G33" s="76">
        <f>IF(AND(G27&gt;E27,$AL8&gt;1,$AL7&gt;2,ISNUMBER(E27),ISNUMBER(G27)),1,0)</f>
        <v>0</v>
      </c>
      <c r="H33" s="75">
        <f>IF(AND(H27&gt;J27,$AL8&gt;2,$AL7&gt;2,ISNUMBER(H27),ISNUMBER(J27)),1,0)</f>
        <v>0</v>
      </c>
      <c r="I33" s="75"/>
      <c r="J33" s="76">
        <f>IF(AND(J27&gt;H27,$AL8&gt;2,$AL7&gt;2,ISNUMBER(H27),ISNUMBER(J27)),1,0)</f>
        <v>0</v>
      </c>
      <c r="K33" s="77"/>
      <c r="L33" s="75">
        <f>IF(AND(L27&gt;N27,$AL8&gt;3,$AL7&gt;2,ISNUMBER(L27),ISNUMBER(N27)),1,0)</f>
        <v>0</v>
      </c>
      <c r="M33" s="75"/>
      <c r="N33" s="76">
        <f>IF(AND(N27&gt;L27,$AL8&gt;3,$AL7&gt;2,ISNUMBER(L27),ISNUMBER(N27)),1,0)</f>
        <v>0</v>
      </c>
      <c r="O33" s="75">
        <f>IF(AND(O27&gt;Q27,$AL8&gt;4,$AL7&gt;2,ISNUMBER(O27),ISNUMBER(Q27)),1,0)</f>
        <v>0</v>
      </c>
      <c r="P33" s="75"/>
      <c r="Q33" s="76">
        <f>IF(AND(Q27&gt;O27,$AL8&gt;4,$AL7&gt;2,ISNUMBER(O27),ISNUMBER(Q27)),1,0)</f>
        <v>0</v>
      </c>
      <c r="R33" s="75">
        <f>IF(AND(R27&gt;T27,$AL8&gt;5,$AL7&gt;2,ISNUMBER(R27),ISNUMBER(T27)),1,0)</f>
        <v>0</v>
      </c>
      <c r="S33" s="75"/>
      <c r="T33" s="76">
        <f>IF(AND(T27&gt;R27,$AL8&gt;5,$AL7&gt;2,ISNUMBER(R27),ISNUMBER(T27)),1,0)</f>
        <v>0</v>
      </c>
      <c r="U33" s="75">
        <f>IF(AND(U27&gt;W27,$AL8&gt;6,$AL7&gt;2,ISNUMBER(U27),ISNUMBER(W27)),1,0)</f>
        <v>0</v>
      </c>
      <c r="V33" s="75"/>
      <c r="W33" s="76">
        <f>IF(AND(W27&gt;U27,$AL8&gt;6,$AL7&gt;2,ISNUMBER(U27),ISNUMBER(W27)),1,0)</f>
        <v>0</v>
      </c>
      <c r="X33" s="75">
        <f>IF(AND(X27&gt;Z27,$AL8&gt;7,$AL7&gt;2,ISNUMBER(X27),ISNUMBER(Z27)),1,0)</f>
        <v>0</v>
      </c>
      <c r="Y33" s="75"/>
      <c r="Z33" s="76">
        <f>IF(AND(Z27&gt;X27,$AL8&gt;7,$AL7&gt;2,ISNUMBER(X27),ISNUMBER(Z27)),1,0)</f>
        <v>0</v>
      </c>
      <c r="AA33" s="75">
        <f>IF(AND(AA27&gt;AC27,$AL8&gt;8,$AL7&gt;2,ISNUMBER(AA27),ISNUMBER(AC27)),1,0)</f>
        <v>0</v>
      </c>
      <c r="AB33" s="75"/>
      <c r="AC33" s="76">
        <f>IF(AND(AC27&gt;AA27,$AL8&gt;8,$AL7&gt;2,ISNUMBER(AA27),ISNUMBER(AC27)),1,0)</f>
        <v>0</v>
      </c>
      <c r="AD33" s="75">
        <f>IF(AND(AD27&gt;AF27,$AL8&gt;9,$AL7&gt;2,ISNUMBER(AD27),ISNUMBER(AF27)),1,0)</f>
        <v>0</v>
      </c>
      <c r="AE33" s="75"/>
      <c r="AF33" s="76">
        <f>IF(AND(AF27&gt;AD27,$AL8&gt;9,$AL7&gt;2,ISNUMBER(AD27),ISNUMBER(AF27)),1,0)</f>
        <v>0</v>
      </c>
    </row>
    <row r="34" spans="1:34" s="74" customFormat="1" ht="12.75" hidden="1" customHeight="1" x14ac:dyDescent="0.25">
      <c r="A34" s="74" t="s">
        <v>56</v>
      </c>
      <c r="B34" s="75">
        <f>IF(AND(B28&gt;D28,$AL8&gt;0,$AL7&gt;3,ISNUMBER(B28),ISNUMBER(D28)),1,0)</f>
        <v>0</v>
      </c>
      <c r="C34" s="75"/>
      <c r="D34" s="76">
        <f>IF(AND(D28&gt;B28,$AL8&gt;0,$AL7&gt;3,ISNUMBER(B28),ISNUMBER(D28)),1,0)</f>
        <v>0</v>
      </c>
      <c r="E34" s="75">
        <f>IF(AND(E28&gt;G28,$AL8&gt;1,$AL7&gt;3,ISNUMBER(E28),ISNUMBER(G28)),1,0)</f>
        <v>0</v>
      </c>
      <c r="F34" s="75"/>
      <c r="G34" s="76">
        <f>IF(AND(G28&gt;E28,$AL8&gt;1,$AL7&gt;3,ISNUMBER(E28),ISNUMBER(G28)),1,0)</f>
        <v>0</v>
      </c>
      <c r="H34" s="75">
        <f>IF(AND(H28&gt;J28,$AL8&gt;2,$AL7&gt;3,ISNUMBER(H28),ISNUMBER(J28)),1,0)</f>
        <v>0</v>
      </c>
      <c r="I34" s="75"/>
      <c r="J34" s="76">
        <f>IF(AND(J28&gt;H28,$AL8&gt;2,$AL7&gt;3,ISNUMBER(H28),ISNUMBER(J28)),1,0)</f>
        <v>0</v>
      </c>
      <c r="K34" s="77"/>
      <c r="L34" s="75">
        <f>IF(AND(L28&gt;N28,$AL8&gt;3,$AL7&gt;3,ISNUMBER(L28),ISNUMBER(N28)),1,0)</f>
        <v>0</v>
      </c>
      <c r="M34" s="75"/>
      <c r="N34" s="76">
        <f>IF(AND(N28&gt;L28,$AL8&gt;3,$AL7&gt;3,ISNUMBER(L28),ISNUMBER(N28)),1,0)</f>
        <v>0</v>
      </c>
      <c r="O34" s="75">
        <f>IF(AND(O28&gt;Q28,$AL8&gt;4,$AL7&gt;3,ISNUMBER(O28),ISNUMBER(Q28)),1,0)</f>
        <v>0</v>
      </c>
      <c r="P34" s="75"/>
      <c r="Q34" s="76">
        <f>IF(AND(Q28&gt;O28,$AL8&gt;4,$AL7&gt;3,ISNUMBER(O28),ISNUMBER(Q28)),1,0)</f>
        <v>0</v>
      </c>
      <c r="R34" s="75">
        <f>IF(AND(R28&gt;T28,$AL8&gt;5,$AL7&gt;3,ISNUMBER(R28),ISNUMBER(T28)),1,0)</f>
        <v>0</v>
      </c>
      <c r="S34" s="75"/>
      <c r="T34" s="76">
        <f>IF(AND(T28&gt;R28,$AL8&gt;5,$AL7&gt;3,ISNUMBER(R28),ISNUMBER(T28)),1,0)</f>
        <v>0</v>
      </c>
      <c r="U34" s="75">
        <f>IF(AND(U28&gt;W28,$AL8&gt;6,$AL7&gt;3,ISNUMBER(U28),ISNUMBER(W28)),1,0)</f>
        <v>0</v>
      </c>
      <c r="V34" s="75"/>
      <c r="W34" s="76">
        <f>IF(AND(W28&gt;U28,$AL8&gt;6,$AL7&gt;3,ISNUMBER(U28),ISNUMBER(W28)),1,0)</f>
        <v>0</v>
      </c>
      <c r="X34" s="75">
        <f>IF(AND(X28&gt;Z28,$AL8&gt;7,$AL7&gt;3,ISNUMBER(X28),ISNUMBER(Z28)),1,0)</f>
        <v>0</v>
      </c>
      <c r="Y34" s="75"/>
      <c r="Z34" s="76">
        <f>IF(AND(Z28&gt;X28,$AL8&gt;7,$AL7&gt;3,ISNUMBER(X28),ISNUMBER(Z28)),1,0)</f>
        <v>0</v>
      </c>
      <c r="AA34" s="75">
        <f>IF(AND(AA28&gt;AC28,$AL8&gt;8,$AL7&gt;3,ISNUMBER(AA28),ISNUMBER(AC28)),1,0)</f>
        <v>0</v>
      </c>
      <c r="AB34" s="75"/>
      <c r="AC34" s="76">
        <f>IF(AND(AC28&gt;AA28,$AL8&gt;8,$AL7&gt;3,ISNUMBER(AA28),ISNUMBER(AC28)),1,0)</f>
        <v>0</v>
      </c>
      <c r="AD34" s="75">
        <f>IF(AND(AD28&gt;AF28,$AL8&gt;9,$AL7&gt;3,ISNUMBER(AD28),ISNUMBER(AF28)),1,0)</f>
        <v>0</v>
      </c>
      <c r="AE34" s="75"/>
      <c r="AF34" s="76">
        <f>IF(AND(AF28&gt;AD28,$AL8&gt;9,$AL7&gt;3,ISNUMBER(AD28),ISNUMBER(AF28)),1,0)</f>
        <v>0</v>
      </c>
    </row>
    <row r="35" spans="1:34" s="74" customFormat="1" ht="12.75" hidden="1" customHeight="1" x14ac:dyDescent="0.25">
      <c r="A35" s="74" t="s">
        <v>57</v>
      </c>
      <c r="B35" s="75">
        <f>IF(AND(B29&gt;D29,$AL8&gt;0,$AL7&gt;4,ISNUMBER(B29),ISNUMBER(D29)),1,0)</f>
        <v>0</v>
      </c>
      <c r="C35" s="75"/>
      <c r="D35" s="76">
        <f>IF(AND(D29&gt;B29,$AL8&gt;0,$AL7&gt;4,ISNUMBER(B29),ISNUMBER(D29)),1,0)</f>
        <v>0</v>
      </c>
      <c r="E35" s="75">
        <f>IF(AND(E29&gt;G29,$AL8&gt;1,$AL7&gt;4,ISNUMBER(E29),ISNUMBER(G29)),1,0)</f>
        <v>0</v>
      </c>
      <c r="F35" s="75"/>
      <c r="G35" s="76">
        <f>IF(AND(G29&gt;E29,$AL8&gt;1,$AL7&gt;4,ISNUMBER(E29),ISNUMBER(G29)),1,0)</f>
        <v>0</v>
      </c>
      <c r="H35" s="75">
        <f>IF(AND(H29&gt;J29,$AL8&gt;2,$AL7&gt;4,ISNUMBER(H29),ISNUMBER(J29)),1,0)</f>
        <v>0</v>
      </c>
      <c r="I35" s="75"/>
      <c r="J35" s="76">
        <f>IF(AND(J29&gt;H29,$AL8&gt;2,$AL7&gt;4,ISNUMBER(H29),ISNUMBER(J29)),1,0)</f>
        <v>0</v>
      </c>
      <c r="K35" s="77"/>
      <c r="L35" s="75">
        <f>IF(AND(L29&gt;N29,$AL8&gt;3,$AL7&gt;4,ISNUMBER(L29),ISNUMBER(N29)),1,0)</f>
        <v>0</v>
      </c>
      <c r="M35" s="75"/>
      <c r="N35" s="76">
        <f>IF(AND(N29&gt;L29,$AL8&gt;3,$AL7&gt;4,ISNUMBER(L29),ISNUMBER(N29)),1,0)</f>
        <v>0</v>
      </c>
      <c r="O35" s="75">
        <f>IF(AND(O29&gt;Q29,$AL8&gt;4,$AL7&gt;4,ISNUMBER(O29),ISNUMBER(Q29)),1,0)</f>
        <v>0</v>
      </c>
      <c r="P35" s="75"/>
      <c r="Q35" s="76">
        <f>IF(AND(Q29&gt;O29,$AL8&gt;4,$AL7&gt;4,ISNUMBER(O29),ISNUMBER(Q29)),1,0)</f>
        <v>0</v>
      </c>
      <c r="R35" s="75">
        <f>IF(AND(R29&gt;T29,$AL8&gt;5,$AL7&gt;4,ISNUMBER(R29),ISNUMBER(T29)),1,0)</f>
        <v>0</v>
      </c>
      <c r="S35" s="75"/>
      <c r="T35" s="76">
        <f>IF(AND(T29&gt;R29,$AL8&gt;5,$AL7&gt;4,ISNUMBER(R29),ISNUMBER(T29)),1,0)</f>
        <v>0</v>
      </c>
      <c r="U35" s="75">
        <f>IF(AND(U29&gt;W29,$AL8&gt;6,$AL7&gt;4,ISNUMBER(U29),ISNUMBER(W29)),1,0)</f>
        <v>0</v>
      </c>
      <c r="V35" s="75"/>
      <c r="W35" s="76">
        <f>IF(AND(W29&gt;U29,$AL8&gt;6,$AL7&gt;4,ISNUMBER(U29),ISNUMBER(W29)),1,0)</f>
        <v>0</v>
      </c>
      <c r="X35" s="75">
        <f>IF(AND(X29&gt;Z29,$AL8&gt;7,$AL7&gt;4,ISNUMBER(X29),ISNUMBER(Z29)),1,0)</f>
        <v>0</v>
      </c>
      <c r="Y35" s="75"/>
      <c r="Z35" s="76">
        <f>IF(AND(Z29&gt;X29,$AL8&gt;7,$AL7&gt;4,ISNUMBER(X29),ISNUMBER(Z29)),1,0)</f>
        <v>0</v>
      </c>
      <c r="AA35" s="75">
        <f>IF(AND(AA29&gt;AC29,$AL8&gt;8,$AL7&gt;4,ISNUMBER(AA29),ISNUMBER(AC29)),1,0)</f>
        <v>0</v>
      </c>
      <c r="AB35" s="75"/>
      <c r="AC35" s="76">
        <f>IF(AND(AC29&gt;AA29,$AL8&gt;8,$AL7&gt;4,ISNUMBER(AA29),ISNUMBER(AC29)),1,0)</f>
        <v>0</v>
      </c>
      <c r="AD35" s="75">
        <f>IF(AND(AD29&gt;AF29,$AL8&gt;9,$AL7&gt;4,ISNUMBER(AD29),ISNUMBER(AF29)),1,0)</f>
        <v>0</v>
      </c>
      <c r="AE35" s="75"/>
      <c r="AF35" s="76">
        <f>IF(AND(AF29&gt;AD29,$AL8&gt;9,$AL7&gt;4,ISNUMBER(AD29),ISNUMBER(AF29)),1,0)</f>
        <v>0</v>
      </c>
    </row>
    <row r="36" spans="1:34" s="74" customFormat="1" ht="38.25" hidden="1" customHeight="1" x14ac:dyDescent="0.25">
      <c r="A36" s="78" t="s">
        <v>58</v>
      </c>
      <c r="B36" s="74">
        <f>SUM(B31:B35)</f>
        <v>0</v>
      </c>
      <c r="D36" s="77">
        <f>SUM(D31:D35)</f>
        <v>1</v>
      </c>
      <c r="E36" s="74">
        <f>SUM(E31:E35)</f>
        <v>1</v>
      </c>
      <c r="G36" s="77">
        <f>SUM(G31:G35)</f>
        <v>0</v>
      </c>
      <c r="H36" s="74">
        <f>SUM(H31:H35)</f>
        <v>0</v>
      </c>
      <c r="J36" s="77">
        <f>SUM(J31:J35)</f>
        <v>1</v>
      </c>
      <c r="K36" s="77"/>
      <c r="L36" s="74">
        <f>SUM(L31:L35)</f>
        <v>0</v>
      </c>
      <c r="N36" s="77">
        <f>SUM(N31:N35)</f>
        <v>1</v>
      </c>
      <c r="O36" s="74">
        <f>SUM(O31:O35)</f>
        <v>1</v>
      </c>
      <c r="Q36" s="77">
        <f>SUM(Q31:Q35)</f>
        <v>0</v>
      </c>
      <c r="R36" s="74">
        <f>SUM(R31:R35)</f>
        <v>1</v>
      </c>
      <c r="T36" s="77">
        <f>SUM(T31:T35)</f>
        <v>0</v>
      </c>
      <c r="U36" s="74">
        <f>SUM(U31:U35)</f>
        <v>0</v>
      </c>
      <c r="W36" s="77">
        <f>SUM(W31:W35)</f>
        <v>0</v>
      </c>
      <c r="X36" s="74">
        <f>SUM(X31:X35)</f>
        <v>0</v>
      </c>
      <c r="Z36" s="77">
        <f>SUM(Z31:Z35)</f>
        <v>0</v>
      </c>
      <c r="AA36" s="74">
        <f>SUM(AA31:AA35)</f>
        <v>0</v>
      </c>
      <c r="AC36" s="77">
        <f>SUM(AC31:AC35)</f>
        <v>0</v>
      </c>
      <c r="AD36" s="74">
        <f>SUM(AD31:AD35)</f>
        <v>0</v>
      </c>
      <c r="AF36" s="77">
        <f>SUM(AF31:AF35)</f>
        <v>0</v>
      </c>
    </row>
    <row r="37" spans="1:34" s="74" customFormat="1" ht="25.5" hidden="1" customHeight="1" x14ac:dyDescent="0.25">
      <c r="A37" s="78" t="s">
        <v>59</v>
      </c>
      <c r="B37" s="74">
        <f>IF(B36&gt;D36,IF(C71=AL7,1,IF(C71=AL7-1,1,0)),0)</f>
        <v>0</v>
      </c>
      <c r="C37" s="74">
        <f>B37+D37</f>
        <v>1</v>
      </c>
      <c r="D37" s="77">
        <f>IF(D36&gt;B36,IF(C71=AL7,1,IF(C71=AL7-1,1,0)),0)</f>
        <v>1</v>
      </c>
      <c r="E37" s="74">
        <f>IF(E36&gt;G36,IF(F71=AL7,1,IF(F71=AL7-1,1,0)),0)</f>
        <v>1</v>
      </c>
      <c r="F37" s="74">
        <f>E37+G37</f>
        <v>1</v>
      </c>
      <c r="G37" s="77">
        <f>IF(G36&gt;E36,IF(F71=AL7,1,IF(F71=AL7-1,1,0)),0)</f>
        <v>0</v>
      </c>
      <c r="H37" s="74">
        <f>IF(H36&gt;J36,IF(I71=AL7,1,IF(I71=AL7-1,1,0)),0)</f>
        <v>0</v>
      </c>
      <c r="I37" s="74">
        <f>H37+J37</f>
        <v>1</v>
      </c>
      <c r="J37" s="77">
        <f>IF(J36&gt;H36,IF(I71=AL7,1,IF(I71=AL7-1,1,0)),0)</f>
        <v>1</v>
      </c>
      <c r="K37" s="77"/>
      <c r="L37" s="74">
        <f>IF(L36&gt;N36,IF(M71=AL7,1,IF(M71=AL7-1,1,0)),0)</f>
        <v>0</v>
      </c>
      <c r="M37" s="74">
        <f>L37+N37</f>
        <v>1</v>
      </c>
      <c r="N37" s="77">
        <f>IF(N36&gt;L36,IF(M71=AL7,1,IF(M71=AL7-1,1,0)),0)</f>
        <v>1</v>
      </c>
      <c r="O37" s="74">
        <f>IF(O36&gt;Q36,IF(P71=AL7,1,IF(P71=AL7-1,1,0)),0)</f>
        <v>1</v>
      </c>
      <c r="P37" s="74">
        <f>O37+Q37</f>
        <v>1</v>
      </c>
      <c r="Q37" s="77">
        <f>IF(Q36&gt;O36,IF(P71=AL7,1,IF(P71=AL7-1,1,0)),0)</f>
        <v>0</v>
      </c>
      <c r="R37" s="74">
        <f>IF(R36&gt;T36,IF(S71=AL7,1,IF(S71=AL7-1,1,0)),0)</f>
        <v>1</v>
      </c>
      <c r="S37" s="74">
        <f>R37+T37</f>
        <v>1</v>
      </c>
      <c r="T37" s="77">
        <f>IF(T36&gt;R36,IF(S71=AL7,1,IF(S71=AL7-1,1,0)),0)</f>
        <v>0</v>
      </c>
      <c r="U37" s="74">
        <f>IF(U36&gt;W36,IF(V71=AL7,1,IF(V71=AL7-1,1,0)),0)</f>
        <v>0</v>
      </c>
      <c r="V37" s="74">
        <f>U37+W37</f>
        <v>0</v>
      </c>
      <c r="W37" s="77">
        <f>IF(W36&gt;U36,IF(V71=AL7,1,IF(V71=AL7-1,1,0)),0)</f>
        <v>0</v>
      </c>
      <c r="X37" s="74">
        <f>IF(X36&gt;Z36,IF(Y71=AL7,1,IF(Y71=AL7-1,1,0)),0)</f>
        <v>0</v>
      </c>
      <c r="Y37" s="74">
        <f>X37+Z37</f>
        <v>0</v>
      </c>
      <c r="Z37" s="77">
        <f>IF(Z36&gt;X36,IF(Y71=AL7,1,IF(Y71=AL7-1,1,0)),0)</f>
        <v>0</v>
      </c>
      <c r="AA37" s="74">
        <f>IF(AA36&gt;AC36,IF(AB71=AL7,1,IF(AB71=AL7-1,1,0)),0)</f>
        <v>0</v>
      </c>
      <c r="AB37" s="74">
        <f>AA37+AC37</f>
        <v>0</v>
      </c>
      <c r="AC37" s="77">
        <f>IF(AC36&gt;AA36,IF(AB71=AL7,1,IF(AB71=AL7-1,1,0)),0)</f>
        <v>0</v>
      </c>
      <c r="AD37" s="74">
        <f>IF(AD36&gt;AF36,IF(AE71=AL7,1,IF(AE71=AL7-1,1,0)),0)</f>
        <v>0</v>
      </c>
      <c r="AE37" s="74">
        <f>AD37+AF37</f>
        <v>0</v>
      </c>
      <c r="AF37" s="77">
        <f>IF(AF36&gt;AD36,IF(AE71=AL7,1,IF(AE71=AL7-1,1,0)),0)</f>
        <v>0</v>
      </c>
    </row>
    <row r="38" spans="1:34" s="74" customFormat="1" ht="25.5" hidden="1" customHeight="1" x14ac:dyDescent="0.25">
      <c r="A38" s="78"/>
      <c r="D38" s="77"/>
      <c r="G38" s="77"/>
      <c r="J38" s="77"/>
      <c r="K38" s="77"/>
      <c r="N38" s="77"/>
      <c r="Q38" s="77"/>
      <c r="T38" s="77"/>
      <c r="W38" s="77"/>
      <c r="Z38" s="77"/>
      <c r="AC38" s="77"/>
      <c r="AF38" s="77"/>
    </row>
    <row r="39" spans="1:34" s="74" customFormat="1" ht="12.75" hidden="1" customHeight="1" x14ac:dyDescent="0.25">
      <c r="A39" s="74" t="s">
        <v>60</v>
      </c>
      <c r="B39" s="74">
        <f>IF(B31=1,B25,0)</f>
        <v>0</v>
      </c>
      <c r="D39" s="77">
        <f t="shared" ref="D39:E43" si="2">IF(D31=1,D25,0)</f>
        <v>20</v>
      </c>
      <c r="E39" s="74">
        <f t="shared" si="2"/>
        <v>22</v>
      </c>
      <c r="G39" s="77">
        <f t="shared" ref="G39:H43" si="3">IF(G31=1,G25,0)</f>
        <v>0</v>
      </c>
      <c r="H39" s="74">
        <f t="shared" si="3"/>
        <v>0</v>
      </c>
      <c r="J39" s="77">
        <f>IF(J31=1,J25,0)</f>
        <v>23</v>
      </c>
      <c r="K39" s="77"/>
      <c r="L39" s="74">
        <f>IF(L31=1,L25,0)</f>
        <v>0</v>
      </c>
      <c r="N39" s="77">
        <f t="shared" ref="N39:O43" si="4">IF(N31=1,N25,0)</f>
        <v>23</v>
      </c>
      <c r="O39" s="74">
        <f t="shared" si="4"/>
        <v>24</v>
      </c>
      <c r="Q39" s="77">
        <f t="shared" ref="Q39:R43" si="5">IF(Q31=1,Q25,0)</f>
        <v>0</v>
      </c>
      <c r="R39" s="74">
        <f t="shared" si="5"/>
        <v>24</v>
      </c>
      <c r="T39" s="77">
        <f t="shared" ref="T39:U43" si="6">IF(T31=1,T25,0)</f>
        <v>0</v>
      </c>
      <c r="U39" s="74">
        <f t="shared" si="6"/>
        <v>0</v>
      </c>
      <c r="W39" s="77">
        <f t="shared" ref="W39:X43" si="7">IF(W31=1,W25,0)</f>
        <v>0</v>
      </c>
      <c r="X39" s="74">
        <f t="shared" si="7"/>
        <v>0</v>
      </c>
      <c r="Z39" s="77">
        <f t="shared" ref="Z39:AA43" si="8">IF(Z31=1,Z25,0)</f>
        <v>0</v>
      </c>
      <c r="AA39" s="74">
        <f t="shared" si="8"/>
        <v>0</v>
      </c>
      <c r="AC39" s="77">
        <f t="shared" ref="AC39:AD43" si="9">IF(AC31=1,AC25,0)</f>
        <v>0</v>
      </c>
      <c r="AD39" s="74">
        <f t="shared" si="9"/>
        <v>0</v>
      </c>
      <c r="AF39" s="77">
        <f>IF(AF31=1,AF25,0)</f>
        <v>0</v>
      </c>
    </row>
    <row r="40" spans="1:34" s="74" customFormat="1" ht="12.75" hidden="1" customHeight="1" x14ac:dyDescent="0.25">
      <c r="A40" s="74" t="s">
        <v>61</v>
      </c>
      <c r="B40" s="74">
        <f>IF(B32=1,B26,0)</f>
        <v>0</v>
      </c>
      <c r="D40" s="77">
        <f t="shared" si="2"/>
        <v>0</v>
      </c>
      <c r="E40" s="74">
        <f t="shared" si="2"/>
        <v>0</v>
      </c>
      <c r="G40" s="77">
        <f t="shared" si="3"/>
        <v>0</v>
      </c>
      <c r="H40" s="74">
        <f t="shared" si="3"/>
        <v>0</v>
      </c>
      <c r="J40" s="77">
        <f>IF(J32=1,J26,0)</f>
        <v>0</v>
      </c>
      <c r="K40" s="77"/>
      <c r="L40" s="74">
        <f>IF(L32=1,L26,0)</f>
        <v>0</v>
      </c>
      <c r="N40" s="77">
        <f t="shared" si="4"/>
        <v>0</v>
      </c>
      <c r="O40" s="74">
        <f t="shared" si="4"/>
        <v>0</v>
      </c>
      <c r="Q40" s="77">
        <f t="shared" si="5"/>
        <v>0</v>
      </c>
      <c r="R40" s="74">
        <f t="shared" si="5"/>
        <v>0</v>
      </c>
      <c r="T40" s="77">
        <f t="shared" si="6"/>
        <v>0</v>
      </c>
      <c r="U40" s="74">
        <f t="shared" si="6"/>
        <v>0</v>
      </c>
      <c r="W40" s="77">
        <f t="shared" si="7"/>
        <v>0</v>
      </c>
      <c r="X40" s="74">
        <f t="shared" si="7"/>
        <v>0</v>
      </c>
      <c r="Z40" s="77">
        <f t="shared" si="8"/>
        <v>0</v>
      </c>
      <c r="AA40" s="74">
        <f t="shared" si="8"/>
        <v>0</v>
      </c>
      <c r="AC40" s="77">
        <f t="shared" si="9"/>
        <v>0</v>
      </c>
      <c r="AD40" s="74">
        <f t="shared" si="9"/>
        <v>0</v>
      </c>
      <c r="AF40" s="77">
        <f>IF(AF32=1,AF26,0)</f>
        <v>0</v>
      </c>
    </row>
    <row r="41" spans="1:34" s="74" customFormat="1" ht="12.75" hidden="1" customHeight="1" x14ac:dyDescent="0.25">
      <c r="A41" s="74" t="s">
        <v>62</v>
      </c>
      <c r="B41" s="74">
        <f>IF(B33=1,B27,0)</f>
        <v>0</v>
      </c>
      <c r="D41" s="77">
        <f t="shared" si="2"/>
        <v>0</v>
      </c>
      <c r="E41" s="74">
        <f t="shared" si="2"/>
        <v>0</v>
      </c>
      <c r="G41" s="77">
        <f t="shared" si="3"/>
        <v>0</v>
      </c>
      <c r="H41" s="74">
        <f t="shared" si="3"/>
        <v>0</v>
      </c>
      <c r="J41" s="77">
        <f>IF(J33=1,J27,0)</f>
        <v>0</v>
      </c>
      <c r="K41" s="77"/>
      <c r="L41" s="74">
        <f>IF(L33=1,L27,0)</f>
        <v>0</v>
      </c>
      <c r="N41" s="77">
        <f t="shared" si="4"/>
        <v>0</v>
      </c>
      <c r="O41" s="74">
        <f t="shared" si="4"/>
        <v>0</v>
      </c>
      <c r="Q41" s="77">
        <f t="shared" si="5"/>
        <v>0</v>
      </c>
      <c r="R41" s="74">
        <f t="shared" si="5"/>
        <v>0</v>
      </c>
      <c r="T41" s="77">
        <f t="shared" si="6"/>
        <v>0</v>
      </c>
      <c r="U41" s="74">
        <f t="shared" si="6"/>
        <v>0</v>
      </c>
      <c r="W41" s="77">
        <f t="shared" si="7"/>
        <v>0</v>
      </c>
      <c r="X41" s="74">
        <f t="shared" si="7"/>
        <v>0</v>
      </c>
      <c r="Z41" s="77">
        <f t="shared" si="8"/>
        <v>0</v>
      </c>
      <c r="AA41" s="74">
        <f t="shared" si="8"/>
        <v>0</v>
      </c>
      <c r="AC41" s="77">
        <f t="shared" si="9"/>
        <v>0</v>
      </c>
      <c r="AD41" s="74">
        <f t="shared" si="9"/>
        <v>0</v>
      </c>
      <c r="AF41" s="77">
        <f>IF(AF33=1,AF27,0)</f>
        <v>0</v>
      </c>
    </row>
    <row r="42" spans="1:34" s="74" customFormat="1" ht="12.75" hidden="1" customHeight="1" x14ac:dyDescent="0.25">
      <c r="A42" s="74" t="s">
        <v>63</v>
      </c>
      <c r="B42" s="74">
        <f>IF(B34=1,B28,0)</f>
        <v>0</v>
      </c>
      <c r="D42" s="77">
        <f t="shared" si="2"/>
        <v>0</v>
      </c>
      <c r="E42" s="74">
        <f t="shared" si="2"/>
        <v>0</v>
      </c>
      <c r="G42" s="77">
        <f t="shared" si="3"/>
        <v>0</v>
      </c>
      <c r="H42" s="74">
        <f t="shared" si="3"/>
        <v>0</v>
      </c>
      <c r="J42" s="77">
        <f>IF(J34=1,J28,0)</f>
        <v>0</v>
      </c>
      <c r="K42" s="77"/>
      <c r="L42" s="74">
        <f>IF(L34=1,L28,0)</f>
        <v>0</v>
      </c>
      <c r="N42" s="77">
        <f t="shared" si="4"/>
        <v>0</v>
      </c>
      <c r="O42" s="74">
        <f t="shared" si="4"/>
        <v>0</v>
      </c>
      <c r="Q42" s="77">
        <f t="shared" si="5"/>
        <v>0</v>
      </c>
      <c r="R42" s="74">
        <f t="shared" si="5"/>
        <v>0</v>
      </c>
      <c r="T42" s="77">
        <f t="shared" si="6"/>
        <v>0</v>
      </c>
      <c r="U42" s="74">
        <f t="shared" si="6"/>
        <v>0</v>
      </c>
      <c r="W42" s="77">
        <f t="shared" si="7"/>
        <v>0</v>
      </c>
      <c r="X42" s="74">
        <f t="shared" si="7"/>
        <v>0</v>
      </c>
      <c r="Z42" s="77">
        <f t="shared" si="8"/>
        <v>0</v>
      </c>
      <c r="AA42" s="74">
        <f t="shared" si="8"/>
        <v>0</v>
      </c>
      <c r="AC42" s="77">
        <f t="shared" si="9"/>
        <v>0</v>
      </c>
      <c r="AD42" s="74">
        <f t="shared" si="9"/>
        <v>0</v>
      </c>
      <c r="AF42" s="77">
        <f>IF(AF34=1,AF28,0)</f>
        <v>0</v>
      </c>
    </row>
    <row r="43" spans="1:34" s="74" customFormat="1" ht="12.75" hidden="1" customHeight="1" x14ac:dyDescent="0.25">
      <c r="A43" s="74" t="s">
        <v>64</v>
      </c>
      <c r="B43" s="74">
        <f>IF(B35=1,B29,0)</f>
        <v>0</v>
      </c>
      <c r="D43" s="77">
        <f t="shared" si="2"/>
        <v>0</v>
      </c>
      <c r="E43" s="74">
        <f t="shared" si="2"/>
        <v>0</v>
      </c>
      <c r="G43" s="77">
        <f t="shared" si="3"/>
        <v>0</v>
      </c>
      <c r="H43" s="74">
        <f t="shared" si="3"/>
        <v>0</v>
      </c>
      <c r="J43" s="77">
        <f>IF(J35=1,J29,0)</f>
        <v>0</v>
      </c>
      <c r="K43" s="77"/>
      <c r="L43" s="74">
        <f>IF(L35=1,L29,0)</f>
        <v>0</v>
      </c>
      <c r="N43" s="77">
        <f t="shared" si="4"/>
        <v>0</v>
      </c>
      <c r="O43" s="74">
        <f t="shared" si="4"/>
        <v>0</v>
      </c>
      <c r="Q43" s="77">
        <f t="shared" si="5"/>
        <v>0</v>
      </c>
      <c r="R43" s="74">
        <f t="shared" si="5"/>
        <v>0</v>
      </c>
      <c r="T43" s="77">
        <f t="shared" si="6"/>
        <v>0</v>
      </c>
      <c r="U43" s="74">
        <f t="shared" si="6"/>
        <v>0</v>
      </c>
      <c r="W43" s="77">
        <f t="shared" si="7"/>
        <v>0</v>
      </c>
      <c r="X43" s="74">
        <f t="shared" si="7"/>
        <v>0</v>
      </c>
      <c r="Z43" s="77">
        <f t="shared" si="8"/>
        <v>0</v>
      </c>
      <c r="AA43" s="74">
        <f t="shared" si="8"/>
        <v>0</v>
      </c>
      <c r="AC43" s="77">
        <f t="shared" si="9"/>
        <v>0</v>
      </c>
      <c r="AD43" s="74">
        <f t="shared" si="9"/>
        <v>0</v>
      </c>
      <c r="AF43" s="77">
        <f>IF(AF35=1,AF29,0)</f>
        <v>0</v>
      </c>
    </row>
    <row r="44" spans="1:34" s="74" customFormat="1" ht="38.25" hidden="1" customHeight="1" x14ac:dyDescent="0.25">
      <c r="A44" s="78" t="s">
        <v>65</v>
      </c>
      <c r="B44" s="74">
        <f>SUM(B39:D43)</f>
        <v>20</v>
      </c>
      <c r="D44" s="77"/>
      <c r="E44" s="74">
        <f>SUM(E39:G43)</f>
        <v>22</v>
      </c>
      <c r="G44" s="77"/>
      <c r="H44" s="74">
        <f>SUM(H39:J43)</f>
        <v>23</v>
      </c>
      <c r="J44" s="77"/>
      <c r="K44" s="77"/>
      <c r="L44" s="74">
        <f>SUM(L39:N43)</f>
        <v>23</v>
      </c>
      <c r="N44" s="77"/>
      <c r="O44" s="74">
        <f>SUM(O39:Q43)</f>
        <v>24</v>
      </c>
      <c r="Q44" s="77"/>
      <c r="R44" s="74">
        <f>SUM(R39:T43)</f>
        <v>24</v>
      </c>
      <c r="T44" s="77"/>
      <c r="U44" s="74">
        <f>SUM(U39:W43)</f>
        <v>0</v>
      </c>
      <c r="W44" s="77"/>
      <c r="X44" s="74">
        <f>SUM(X39:Z43)</f>
        <v>0</v>
      </c>
      <c r="Z44" s="77"/>
      <c r="AA44" s="74">
        <f>SUM(AA39:AC43)</f>
        <v>0</v>
      </c>
      <c r="AC44" s="77"/>
      <c r="AD44" s="74">
        <f>SUM(AD39:AF43)</f>
        <v>0</v>
      </c>
      <c r="AF44" s="77"/>
    </row>
    <row r="45" spans="1:34" s="74" customFormat="1" ht="38.25" hidden="1" customHeight="1" x14ac:dyDescent="0.25">
      <c r="A45" s="74" t="s">
        <v>66</v>
      </c>
      <c r="D45" s="77"/>
      <c r="G45" s="77"/>
      <c r="J45" s="77"/>
      <c r="K45" s="77"/>
      <c r="N45" s="77"/>
      <c r="Q45" s="77"/>
      <c r="T45" s="77"/>
      <c r="W45" s="77"/>
      <c r="Z45" s="77"/>
      <c r="AC45" s="77"/>
      <c r="AF45" s="77"/>
      <c r="AG45" s="78" t="s">
        <v>67</v>
      </c>
      <c r="AH45" s="74" t="s">
        <v>68</v>
      </c>
    </row>
    <row r="46" spans="1:34" s="74" customFormat="1" ht="12.75" hidden="1" customHeight="1" x14ac:dyDescent="0.25">
      <c r="A46" s="74" t="s">
        <v>69</v>
      </c>
      <c r="B46" s="74">
        <f>IF(B24=1,IF(B37=1,1,0),0)</f>
        <v>0</v>
      </c>
      <c r="D46" s="77">
        <f>IF(D24=1,IF(D37=1,1,0),0)</f>
        <v>0</v>
      </c>
      <c r="E46" s="74">
        <f>IF(E24=1,IF(E37=1,1,0),0)</f>
        <v>1</v>
      </c>
      <c r="G46" s="77">
        <f>IF(G24=1,IF(G37=1,1,0),0)</f>
        <v>0</v>
      </c>
      <c r="H46" s="74">
        <f>IF(H24=1,IF(H37=1,1,0),0)</f>
        <v>0</v>
      </c>
      <c r="J46" s="77">
        <f>IF(J24=1,IF(J37=1,1,0),0)</f>
        <v>0</v>
      </c>
      <c r="K46" s="77"/>
      <c r="L46" s="74">
        <f>IF(L24=1,IF(L37=1,1,0),0)</f>
        <v>0</v>
      </c>
      <c r="N46" s="77">
        <f>IF(N24=1,IF(N37=1,1,0),0)</f>
        <v>0</v>
      </c>
      <c r="O46" s="74">
        <f>IF(O24=1,IF(O37=1,1,0),0)</f>
        <v>0</v>
      </c>
      <c r="Q46" s="77">
        <f>IF(Q24=1,IF(Q37=1,1,0),0)</f>
        <v>0</v>
      </c>
      <c r="R46" s="74">
        <f>IF(R24=1,IF(R37=1,1,0),0)</f>
        <v>1</v>
      </c>
      <c r="T46" s="77">
        <f>IF(T24=1,IF(T37=1,1,0),0)</f>
        <v>0</v>
      </c>
      <c r="U46" s="74">
        <f>IF(U24=1,IF(U37=1,1,0),0)</f>
        <v>0</v>
      </c>
      <c r="W46" s="77">
        <f>IF(W24=1,IF(W37=1,1,0),0)</f>
        <v>0</v>
      </c>
      <c r="X46" s="74">
        <f>IF(X24=1,IF(X37=1,1,0),0)</f>
        <v>0</v>
      </c>
      <c r="Z46" s="77">
        <f>IF(Z24=1,IF(Z37=1,1,0),0)</f>
        <v>0</v>
      </c>
      <c r="AA46" s="74">
        <f>IF(AA24=1,IF(AA37=1,1,0),0)</f>
        <v>0</v>
      </c>
      <c r="AC46" s="77">
        <f>IF(AC24=1,IF(AC37=1,1,0),0)</f>
        <v>0</v>
      </c>
      <c r="AD46" s="74">
        <f>IF(AD24=1,IF(AD37=1,1,0),0)</f>
        <v>0</v>
      </c>
      <c r="AF46" s="77">
        <f>IF(AF24=1,IF(AF37=1,1,0),0)</f>
        <v>0</v>
      </c>
      <c r="AG46" s="74">
        <f>SUM(B46:AF46)</f>
        <v>2</v>
      </c>
      <c r="AH46" s="74">
        <f>AG52-AG46</f>
        <v>1</v>
      </c>
    </row>
    <row r="47" spans="1:34" s="74" customFormat="1" ht="12.75" hidden="1" customHeight="1" x14ac:dyDescent="0.25">
      <c r="A47" s="74" t="s">
        <v>70</v>
      </c>
      <c r="B47" s="74">
        <f>IF(B24=2,IF(B37=1,1,0),0)</f>
        <v>0</v>
      </c>
      <c r="D47" s="77">
        <f>IF(D24=2,IF(D37=1,1,0),0)</f>
        <v>0</v>
      </c>
      <c r="E47" s="74">
        <f>IF(E24=2,IF(E37=1,1,0),0)</f>
        <v>0</v>
      </c>
      <c r="G47" s="77">
        <f>IF(G24=2,IF(G37=1,1,0),0)</f>
        <v>0</v>
      </c>
      <c r="H47" s="74">
        <f>IF(H24=2,IF(H37=1,1,0),0)</f>
        <v>0</v>
      </c>
      <c r="J47" s="77">
        <f>IF(J24=2,IF(J37=1,1,0),0)</f>
        <v>0</v>
      </c>
      <c r="K47" s="77"/>
      <c r="L47" s="74">
        <f>IF(L24=2,IF(L37=1,1,0),0)</f>
        <v>0</v>
      </c>
      <c r="N47" s="77">
        <f>IF(N24=2,IF(N37=1,1,0),0)</f>
        <v>0</v>
      </c>
      <c r="O47" s="74">
        <f>IF(O24=2,IF(O37=1,1,0),0)</f>
        <v>0</v>
      </c>
      <c r="Q47" s="77">
        <f>IF(Q24=2,IF(Q37=1,1,0),0)</f>
        <v>0</v>
      </c>
      <c r="R47" s="74">
        <f>IF(R24=2,IF(R37=1,1,0),0)</f>
        <v>0</v>
      </c>
      <c r="T47" s="77">
        <f>IF(T24=2,IF(T37=1,1,0),0)</f>
        <v>0</v>
      </c>
      <c r="U47" s="74">
        <f>IF(U24=2,IF(U37=1,1,0),0)</f>
        <v>0</v>
      </c>
      <c r="W47" s="77">
        <f>IF(W24=2,IF(W37=1,1,0),0)</f>
        <v>0</v>
      </c>
      <c r="X47" s="74">
        <f>IF(X24=2,IF(X37=1,1,0),0)</f>
        <v>0</v>
      </c>
      <c r="Z47" s="77">
        <f>IF(Z24=2,IF(Z37=1,1,0),0)</f>
        <v>0</v>
      </c>
      <c r="AA47" s="74">
        <f>IF(AA24=2,IF(AA37=1,1,0),0)</f>
        <v>0</v>
      </c>
      <c r="AC47" s="77">
        <f>IF(AC24=2,IF(AC37=1,1,0),0)</f>
        <v>0</v>
      </c>
      <c r="AD47" s="74">
        <f>IF(AD24=2,IF(AD37=1,1,0),0)</f>
        <v>0</v>
      </c>
      <c r="AF47" s="77">
        <f>IF(AF24=2,IF(AF37=1,1,0),0)</f>
        <v>0</v>
      </c>
      <c r="AG47" s="74">
        <f>SUM(B47:AF47)</f>
        <v>0</v>
      </c>
      <c r="AH47" s="74">
        <f>AG53-AG47</f>
        <v>3</v>
      </c>
    </row>
    <row r="48" spans="1:34" s="74" customFormat="1" ht="12.75" hidden="1" customHeight="1" x14ac:dyDescent="0.25">
      <c r="A48" s="74" t="s">
        <v>71</v>
      </c>
      <c r="B48" s="74">
        <f>IF(B24=3,IF(B37=1,1,0),0)</f>
        <v>0</v>
      </c>
      <c r="D48" s="77">
        <f>IF(D24=3,IF(D37=1,1,0),0)</f>
        <v>1</v>
      </c>
      <c r="E48" s="74">
        <f>IF(E24=3,IF(E37=1,1,0),0)</f>
        <v>0</v>
      </c>
      <c r="G48" s="77">
        <f>IF(G24=3,IF(G37=1,1,0),0)</f>
        <v>0</v>
      </c>
      <c r="H48" s="74">
        <f>IF(H24=3,IF(H37=1,1,0),0)</f>
        <v>0</v>
      </c>
      <c r="J48" s="77">
        <f>IF(J24=3,IF(J37=1,1,0),0)</f>
        <v>0</v>
      </c>
      <c r="K48" s="77"/>
      <c r="L48" s="74">
        <f>IF(L24=3,IF(L37=1,1,0),0)</f>
        <v>0</v>
      </c>
      <c r="N48" s="77">
        <f>IF(N24=3,IF(N37=1,1,0),0)</f>
        <v>1</v>
      </c>
      <c r="O48" s="74">
        <f>IF(O24=3,IF(O37=1,1,0),0)</f>
        <v>1</v>
      </c>
      <c r="Q48" s="77">
        <f>IF(Q24=3,IF(Q37=1,1,0),0)</f>
        <v>0</v>
      </c>
      <c r="R48" s="74">
        <f>IF(R24=3,IF(R37=1,1,0),0)</f>
        <v>0</v>
      </c>
      <c r="T48" s="77">
        <f>IF(T24=3,IF(T37=1,1,0),0)</f>
        <v>0</v>
      </c>
      <c r="U48" s="74">
        <f>IF(U24=3,IF(U37=1,1,0),0)</f>
        <v>0</v>
      </c>
      <c r="W48" s="77">
        <f>IF(W24=3,IF(W37=1,1,0),0)</f>
        <v>0</v>
      </c>
      <c r="X48" s="74">
        <f>IF(X24=3,IF(X37=1,1,0),0)</f>
        <v>0</v>
      </c>
      <c r="Z48" s="77">
        <f>IF(Z24=3,IF(Z37=1,1,0),0)</f>
        <v>0</v>
      </c>
      <c r="AA48" s="74">
        <f>IF(AA24=3,IF(AA37=1,1,0),0)</f>
        <v>0</v>
      </c>
      <c r="AC48" s="77">
        <f>IF(AC24=3,IF(AC37=1,1,0),0)</f>
        <v>0</v>
      </c>
      <c r="AD48" s="74">
        <f>IF(AD24=3,IF(AD37=1,1,0),0)</f>
        <v>0</v>
      </c>
      <c r="AF48" s="77">
        <f>IF(AF24=3,IF(AF37=1,1,0),0)</f>
        <v>0</v>
      </c>
      <c r="AG48" s="74">
        <f>SUM(B48:AF48)</f>
        <v>3</v>
      </c>
      <c r="AH48" s="74">
        <f>AG54-AG48</f>
        <v>0</v>
      </c>
    </row>
    <row r="49" spans="1:38" s="74" customFormat="1" ht="12.75" hidden="1" customHeight="1" x14ac:dyDescent="0.25">
      <c r="A49" s="74" t="s">
        <v>72</v>
      </c>
      <c r="B49" s="74">
        <f>IF(B24=4,IF(B37=1,1,0),0)</f>
        <v>0</v>
      </c>
      <c r="D49" s="77">
        <f>IF(D24=4,IF(D37=1,1,0),0)</f>
        <v>0</v>
      </c>
      <c r="E49" s="74">
        <f>IF(E24=4,IF(E37=1,1,0),0)</f>
        <v>0</v>
      </c>
      <c r="G49" s="77">
        <f>IF(G24=4,IF(G37=1,1,0),0)</f>
        <v>0</v>
      </c>
      <c r="H49" s="74">
        <f>IF(H24=4,IF(H37=1,1,0),0)</f>
        <v>0</v>
      </c>
      <c r="J49" s="77">
        <f>IF(J24=4,IF(J37=1,1,0),0)</f>
        <v>1</v>
      </c>
      <c r="K49" s="77"/>
      <c r="L49" s="74">
        <f>IF(L24=4,IF(L37=1,1,0),0)</f>
        <v>0</v>
      </c>
      <c r="N49" s="77">
        <f>IF(N24=4,IF(N37=1,1,0),0)</f>
        <v>0</v>
      </c>
      <c r="O49" s="74">
        <f>IF(O24=4,IF(O37=1,1,0),0)</f>
        <v>0</v>
      </c>
      <c r="Q49" s="77">
        <f>IF(Q24=4,IF(Q37=1,1,0),0)</f>
        <v>0</v>
      </c>
      <c r="R49" s="74">
        <f>IF(R24=4,IF(R37=1,1,0),0)</f>
        <v>0</v>
      </c>
      <c r="T49" s="77">
        <f>IF(T24=4,IF(T37=1,1,0),0)</f>
        <v>0</v>
      </c>
      <c r="U49" s="74">
        <f>IF(U24=4,IF(U37=1,1,0),0)</f>
        <v>0</v>
      </c>
      <c r="W49" s="77">
        <f>IF(W24=4,IF(W37=1,1,0),0)</f>
        <v>0</v>
      </c>
      <c r="X49" s="74">
        <f>IF(X24=4,IF(X37=1,1,0),0)</f>
        <v>0</v>
      </c>
      <c r="Z49" s="77">
        <f>IF(Z24=4,IF(Z37=1,1,0),0)</f>
        <v>0</v>
      </c>
      <c r="AA49" s="74">
        <f>IF(AA24=4,IF(AA37=1,1,0),0)</f>
        <v>0</v>
      </c>
      <c r="AC49" s="77">
        <f>IF(AC24=4,IF(AC37=1,1,0),0)</f>
        <v>0</v>
      </c>
      <c r="AD49" s="74">
        <f>IF(AD24=4,IF(AD37=1,1,0),0)</f>
        <v>0</v>
      </c>
      <c r="AF49" s="77">
        <f>IF(AF24=4,IF(AF37=1,1,0),0)</f>
        <v>0</v>
      </c>
      <c r="AG49" s="74">
        <f>SUM(B49:AF49)</f>
        <v>1</v>
      </c>
      <c r="AH49" s="74">
        <f>AG55-AG49</f>
        <v>2</v>
      </c>
    </row>
    <row r="50" spans="1:38" s="74" customFormat="1" ht="12.75" hidden="1" customHeight="1" x14ac:dyDescent="0.25">
      <c r="A50" s="74" t="s">
        <v>73</v>
      </c>
      <c r="B50" s="74">
        <f>IF(B24=5,IF(B37=1,1,0),0)</f>
        <v>0</v>
      </c>
      <c r="D50" s="77">
        <f>IF(D24=5,IF(D37=1,1,0),0)</f>
        <v>0</v>
      </c>
      <c r="E50" s="74">
        <f>IF(E24=5,IF(E37=1,1,0),0)</f>
        <v>0</v>
      </c>
      <c r="G50" s="77">
        <f>IF(G24=5,IF(G37=1,1,0),0)</f>
        <v>0</v>
      </c>
      <c r="H50" s="74">
        <f>IF(H24=5,IF(H37=1,1,0),0)</f>
        <v>0</v>
      </c>
      <c r="J50" s="77">
        <f>IF(J24=5,IF(J37=1,1,0),0)</f>
        <v>0</v>
      </c>
      <c r="K50" s="77"/>
      <c r="L50" s="74">
        <f>IF(L24=5,IF(L37=1,1,0),0)</f>
        <v>0</v>
      </c>
      <c r="N50" s="77">
        <f>IF(N24=5,IF(N37=1,1,0),0)</f>
        <v>0</v>
      </c>
      <c r="O50" s="74">
        <f>IF(O24=5,IF(O37=1,1,0),0)</f>
        <v>0</v>
      </c>
      <c r="Q50" s="77">
        <f>IF(Q24=5,IF(Q37=1,1,0),0)</f>
        <v>0</v>
      </c>
      <c r="R50" s="74">
        <f>IF(R24=5,IF(R37=1,1,0),0)</f>
        <v>0</v>
      </c>
      <c r="T50" s="77">
        <f>IF(T24=5,IF(T37=1,1,0),0)</f>
        <v>0</v>
      </c>
      <c r="U50" s="74">
        <f>IF(U24=5,IF(U37=1,1,0),0)</f>
        <v>0</v>
      </c>
      <c r="W50" s="77">
        <f>IF(W24=5,IF(W37=1,1,0),0)</f>
        <v>0</v>
      </c>
      <c r="X50" s="74">
        <f>IF(X24=5,IF(X37=1,1,0),0)</f>
        <v>0</v>
      </c>
      <c r="Z50" s="77">
        <f>IF(Z24=5,IF(Z37=1,1,0),0)</f>
        <v>0</v>
      </c>
      <c r="AA50" s="74">
        <f>IF(AA24=5,IF(AA37=1,1,0),0)</f>
        <v>0</v>
      </c>
      <c r="AC50" s="77">
        <f>IF(AC24=5,IF(AC37=1,1,0),0)</f>
        <v>0</v>
      </c>
      <c r="AD50" s="74">
        <f>IF(AD24=5,IF(AD37=1,1,0),0)</f>
        <v>0</v>
      </c>
      <c r="AF50" s="77">
        <f>IF(AF24=5,IF(AF37=1,1,0),0)</f>
        <v>0</v>
      </c>
      <c r="AG50" s="74">
        <f>SUM(B50:AF50)</f>
        <v>0</v>
      </c>
      <c r="AH50" s="74">
        <f>AG56-AG50</f>
        <v>0</v>
      </c>
    </row>
    <row r="51" spans="1:38" s="74" customFormat="1" ht="38.25" hidden="1" customHeight="1" x14ac:dyDescent="0.25">
      <c r="A51" s="78"/>
      <c r="D51" s="77"/>
      <c r="G51" s="77"/>
      <c r="J51" s="77"/>
      <c r="K51" s="77"/>
      <c r="N51" s="77"/>
      <c r="Q51" s="77"/>
      <c r="T51" s="77"/>
      <c r="W51" s="77"/>
      <c r="Z51" s="77"/>
      <c r="AC51" s="77"/>
      <c r="AF51" s="77"/>
      <c r="AG51" s="78" t="s">
        <v>74</v>
      </c>
    </row>
    <row r="52" spans="1:38" s="74" customFormat="1" ht="12.75" hidden="1" customHeight="1" x14ac:dyDescent="0.25">
      <c r="A52" s="74" t="s">
        <v>75</v>
      </c>
      <c r="B52" s="74">
        <f>IF(B24=1,IF(C37=1,1,0),0)</f>
        <v>0</v>
      </c>
      <c r="D52" s="77">
        <f>IF(D24=1,IF(C37=1,1,0),0)</f>
        <v>0</v>
      </c>
      <c r="E52" s="74">
        <f>IF(E24=1,IF(F37=1,1,0),0)</f>
        <v>1</v>
      </c>
      <c r="G52" s="77">
        <f>IF(G24=1,IF(F37=1,1,0),0)</f>
        <v>0</v>
      </c>
      <c r="H52" s="74">
        <f>IF(H24=1,IF(I37=1,1,0),0)</f>
        <v>0</v>
      </c>
      <c r="J52" s="77">
        <f>IF(J24=1,IF(I37=1,1,0),0)</f>
        <v>0</v>
      </c>
      <c r="K52" s="77"/>
      <c r="L52" s="74">
        <f>IF(L24=1,IF(M37=1,1,0),0)</f>
        <v>1</v>
      </c>
      <c r="N52" s="77">
        <f>IF(N24=1,IF(M37=1,1,0),0)</f>
        <v>0</v>
      </c>
      <c r="O52" s="74">
        <f>IF(O24=1,IF(P37=1,1,0),0)</f>
        <v>0</v>
      </c>
      <c r="Q52" s="77">
        <f>IF(Q24=1,IF(P37=1,1,0),0)</f>
        <v>0</v>
      </c>
      <c r="R52" s="74">
        <f>IF(R24=1,IF(S37=1,1,0),0)</f>
        <v>1</v>
      </c>
      <c r="T52" s="77">
        <f>IF(T24=1,IF(S37=1,1,0),0)</f>
        <v>0</v>
      </c>
      <c r="U52" s="74">
        <f>IF(U24=1,IF(V37=1,1,0),0)</f>
        <v>0</v>
      </c>
      <c r="W52" s="77">
        <f>IF(W24=1,IF(V37=1,1,0),0)</f>
        <v>0</v>
      </c>
      <c r="X52" s="74">
        <f>IF(X24=1,IF(Y37=1,1,0),0)</f>
        <v>0</v>
      </c>
      <c r="Z52" s="77">
        <f>IF(Z24=1,IF(Y37=1,1,0),0)</f>
        <v>0</v>
      </c>
      <c r="AA52" s="74">
        <f>IF(AA24=1,IF(AB37=1,1,0),0)</f>
        <v>0</v>
      </c>
      <c r="AC52" s="77">
        <f>IF(AC24=1,IF(AB37=1,1,0),0)</f>
        <v>0</v>
      </c>
      <c r="AD52" s="74">
        <f>IF(AD24=1,IF(AE37=1,1,0),0)</f>
        <v>0</v>
      </c>
      <c r="AF52" s="77">
        <f>IF(AF24=1,IF(AE37=1,1,0),0)</f>
        <v>0</v>
      </c>
      <c r="AG52" s="74">
        <f>SUM(B52:AF52)</f>
        <v>3</v>
      </c>
    </row>
    <row r="53" spans="1:38" s="74" customFormat="1" ht="12.75" hidden="1" customHeight="1" x14ac:dyDescent="0.25">
      <c r="A53" s="74" t="s">
        <v>76</v>
      </c>
      <c r="B53" s="74">
        <f>IF(B24=2,IF(C37=1,1,0),0)</f>
        <v>1</v>
      </c>
      <c r="D53" s="77">
        <f>IF(D24=2,IF(C37=1,1,0),0)</f>
        <v>0</v>
      </c>
      <c r="E53" s="74">
        <f>IF(E24=2,IF(F37=1,1,0),0)</f>
        <v>0</v>
      </c>
      <c r="G53" s="77">
        <f>IF(G24=2,IF(F37=1,1,0),0)</f>
        <v>0</v>
      </c>
      <c r="H53" s="74">
        <f>IF(H24=2,IF(I37=1,1,0),0)</f>
        <v>1</v>
      </c>
      <c r="J53" s="77">
        <f>IF(J24=2,IF(I37=1,1,0),0)</f>
        <v>0</v>
      </c>
      <c r="K53" s="77"/>
      <c r="L53" s="74">
        <f>IF(L24=2,IF(M37=1,1,0),0)</f>
        <v>0</v>
      </c>
      <c r="N53" s="77">
        <f>IF(N24=2,IF(M37=1,1,0),0)</f>
        <v>0</v>
      </c>
      <c r="O53" s="74">
        <f>IF(O24=2,IF(P37=1,1,0),0)</f>
        <v>0</v>
      </c>
      <c r="Q53" s="77">
        <f>IF(Q24=2,IF(P37=1,1,0),0)</f>
        <v>0</v>
      </c>
      <c r="R53" s="74">
        <f>IF(R24=2,IF(S37=1,1,0),0)</f>
        <v>0</v>
      </c>
      <c r="T53" s="77">
        <f>IF(T24=2,IF(S37=1,1,0),0)</f>
        <v>1</v>
      </c>
      <c r="U53" s="74">
        <f>IF(U24=2,IF(V37=1,1,0),0)</f>
        <v>0</v>
      </c>
      <c r="W53" s="77">
        <f>IF(W24=2,IF(V37=1,1,0),0)</f>
        <v>0</v>
      </c>
      <c r="X53" s="74">
        <f>IF(X24=2,IF(Y37=1,1,0),0)</f>
        <v>0</v>
      </c>
      <c r="Z53" s="77">
        <f>IF(Z24=2,IF(Y37=1,1,0),0)</f>
        <v>0</v>
      </c>
      <c r="AA53" s="74">
        <f>IF(AA24=2,IF(AB37=1,1,0),0)</f>
        <v>0</v>
      </c>
      <c r="AC53" s="77">
        <f>IF(AC24=2,IF(AB37=1,1,0),0)</f>
        <v>0</v>
      </c>
      <c r="AD53" s="74">
        <f>IF(AD24=2,IF(AE37=1,1,0),0)</f>
        <v>0</v>
      </c>
      <c r="AF53" s="77">
        <f>IF(AF24=2,IF(AE37=1,1,0),0)</f>
        <v>0</v>
      </c>
      <c r="AG53" s="74">
        <f>SUM(B53:AF53)</f>
        <v>3</v>
      </c>
    </row>
    <row r="54" spans="1:38" s="74" customFormat="1" ht="12.75" hidden="1" customHeight="1" x14ac:dyDescent="0.25">
      <c r="A54" s="74" t="s">
        <v>77</v>
      </c>
      <c r="B54" s="74">
        <f>IF(B24=3,IF(C37=1,1,0),0)</f>
        <v>0</v>
      </c>
      <c r="D54" s="77">
        <f>IF(D24=3,IF(C37=1,1,0),0)</f>
        <v>1</v>
      </c>
      <c r="E54" s="74">
        <f>IF(E24=3,IF(F37=1,1,0),0)</f>
        <v>0</v>
      </c>
      <c r="G54" s="77">
        <f>IF(G24=3,IF(F37=1,1,0),0)</f>
        <v>0</v>
      </c>
      <c r="H54" s="74">
        <f>IF(H24=3,IF(I37=1,1,0),0)</f>
        <v>0</v>
      </c>
      <c r="J54" s="77">
        <f>IF(J24=3,IF(I37=1,1,0),0)</f>
        <v>0</v>
      </c>
      <c r="K54" s="77"/>
      <c r="L54" s="74">
        <f>IF(L24=3,IF(M37=1,1,0),0)</f>
        <v>0</v>
      </c>
      <c r="N54" s="77">
        <f>IF(N24=3,IF(M37=1,1,0),0)</f>
        <v>1</v>
      </c>
      <c r="O54" s="74">
        <f>IF(O24=3,IF(P37=1,1,0),0)</f>
        <v>1</v>
      </c>
      <c r="Q54" s="77">
        <f>IF(Q24=3,IF(P37=1,1,0),0)</f>
        <v>0</v>
      </c>
      <c r="R54" s="74">
        <f>IF(R24=3,IF(S37=1,1,0),0)</f>
        <v>0</v>
      </c>
      <c r="T54" s="77">
        <f>IF(T24=3,IF(S37=1,1,0),0)</f>
        <v>0</v>
      </c>
      <c r="U54" s="74">
        <f>IF(U24=3,IF(V37=1,1,0),0)</f>
        <v>0</v>
      </c>
      <c r="W54" s="77">
        <f>IF(W24=3,IF(V37=1,1,0),0)</f>
        <v>0</v>
      </c>
      <c r="X54" s="74">
        <f>IF(X24=3,IF(Y37=1,1,0),0)</f>
        <v>0</v>
      </c>
      <c r="Z54" s="77">
        <f>IF(Z24=3,IF(Y37=1,1,0),0)</f>
        <v>0</v>
      </c>
      <c r="AA54" s="74">
        <f>IF(AA24=3,IF(AB37=1,1,0),0)</f>
        <v>0</v>
      </c>
      <c r="AC54" s="77">
        <f>IF(AC24=3,IF(AB37=1,1,0),0)</f>
        <v>0</v>
      </c>
      <c r="AD54" s="74">
        <f>IF(AD24=3,IF(AE37=1,1,0),0)</f>
        <v>0</v>
      </c>
      <c r="AF54" s="77">
        <f>IF(AF24=3,IF(AE37=1,1,0),0)</f>
        <v>0</v>
      </c>
      <c r="AG54" s="74">
        <f>SUM(B54:AF54)</f>
        <v>3</v>
      </c>
    </row>
    <row r="55" spans="1:38" s="74" customFormat="1" ht="12.75" hidden="1" customHeight="1" x14ac:dyDescent="0.25">
      <c r="A55" s="74" t="s">
        <v>78</v>
      </c>
      <c r="B55" s="74">
        <f>IF(B24=4,IF(C37=1,1,0),0)</f>
        <v>0</v>
      </c>
      <c r="D55" s="77">
        <f>IF(D24=4,IF(C37=1,1,0),0)</f>
        <v>0</v>
      </c>
      <c r="E55" s="74">
        <f>IF(E24=4,IF(F37=1,1,0),0)</f>
        <v>0</v>
      </c>
      <c r="G55" s="77">
        <f>IF(G24=4,IF(F37=1,1,0),0)</f>
        <v>1</v>
      </c>
      <c r="H55" s="74">
        <f>IF(H24=4,IF(I37=1,1,0),0)</f>
        <v>0</v>
      </c>
      <c r="J55" s="77">
        <f>IF(J24=4,IF(I37=1,1,0),0)</f>
        <v>1</v>
      </c>
      <c r="K55" s="77"/>
      <c r="L55" s="74">
        <f>IF(L24=4,IF(M37=1,1,0),0)</f>
        <v>0</v>
      </c>
      <c r="N55" s="77">
        <f>IF(N24=4,IF(M37=1,1,0),0)</f>
        <v>0</v>
      </c>
      <c r="O55" s="74">
        <f>IF(O24=4,IF(P37=1,1,0),0)</f>
        <v>0</v>
      </c>
      <c r="Q55" s="77">
        <f>IF(Q24=4,IF(P37=1,1,0),0)</f>
        <v>1</v>
      </c>
      <c r="R55" s="74">
        <f>IF(R24=4,IF(S37=1,1,0),0)</f>
        <v>0</v>
      </c>
      <c r="T55" s="77">
        <f>IF(T24=4,IF(S37=1,1,0),0)</f>
        <v>0</v>
      </c>
      <c r="U55" s="74">
        <f>IF(U24=4,IF(V37=1,1,0),0)</f>
        <v>0</v>
      </c>
      <c r="W55" s="77">
        <f>IF(W24=4,IF(V37=1,1,0),0)</f>
        <v>0</v>
      </c>
      <c r="X55" s="74">
        <f>IF(X24=4,IF(Y37=1,1,0),0)</f>
        <v>0</v>
      </c>
      <c r="Z55" s="77">
        <f>IF(Z24=4,IF(Y37=1,1,0),0)</f>
        <v>0</v>
      </c>
      <c r="AA55" s="74">
        <f>IF(AA24=4,IF(AB37=1,1,0),0)</f>
        <v>0</v>
      </c>
      <c r="AC55" s="77">
        <f>IF(AC24=4,IF(AB37=1,1,0),0)</f>
        <v>0</v>
      </c>
      <c r="AD55" s="74">
        <f>IF(AD24=4,IF(AE37=1,1,0),0)</f>
        <v>0</v>
      </c>
      <c r="AF55" s="77">
        <f>IF(AF24=4,IF(AE37=1,1,0),0)</f>
        <v>0</v>
      </c>
      <c r="AG55" s="74">
        <f>SUM(B55:AF55)</f>
        <v>3</v>
      </c>
    </row>
    <row r="56" spans="1:38" s="74" customFormat="1" ht="12.75" hidden="1" customHeight="1" x14ac:dyDescent="0.25">
      <c r="A56" s="74" t="s">
        <v>79</v>
      </c>
      <c r="B56" s="74">
        <f>IF(B24=5,IF(C37=1,1,0),0)</f>
        <v>0</v>
      </c>
      <c r="D56" s="77">
        <f>IF(D24=5,IF(C37=1,1,0),0)</f>
        <v>0</v>
      </c>
      <c r="E56" s="74">
        <f>IF(E24=5,IF(F37=1,1,0),0)</f>
        <v>0</v>
      </c>
      <c r="G56" s="77">
        <f>IF(G24=5,IF(F37=1,1,0),0)</f>
        <v>0</v>
      </c>
      <c r="H56" s="74">
        <f>IF(H24=5,IF(I37=1,1,0),0)</f>
        <v>0</v>
      </c>
      <c r="J56" s="77">
        <f>IF(J24=5,IF(I37=1,1,0),0)</f>
        <v>0</v>
      </c>
      <c r="K56" s="77"/>
      <c r="L56" s="74">
        <f>IF(L24=5,IF(M37=1,1,0),0)</f>
        <v>0</v>
      </c>
      <c r="N56" s="77">
        <f>IF(N24=5,IF(M37=1,1,0),0)</f>
        <v>0</v>
      </c>
      <c r="O56" s="74">
        <f>IF(O24=5,IF(P37=1,1,0),0)</f>
        <v>0</v>
      </c>
      <c r="Q56" s="77">
        <f>IF(Q24=5,IF(P37=1,1,0),0)</f>
        <v>0</v>
      </c>
      <c r="R56" s="74">
        <f>IF(R24=5,IF(S37=1,1,0),0)</f>
        <v>0</v>
      </c>
      <c r="T56" s="77">
        <f>IF(T24=5,IF(S37=1,1,0),0)</f>
        <v>0</v>
      </c>
      <c r="U56" s="74">
        <f>IF(U24=5,IF(V37=1,1,0),0)</f>
        <v>0</v>
      </c>
      <c r="W56" s="77">
        <f>IF(W24=5,IF(V37=1,1,0),0)</f>
        <v>0</v>
      </c>
      <c r="X56" s="74">
        <f>IF(X24=5,IF(Y37=1,1,0),0)</f>
        <v>0</v>
      </c>
      <c r="Z56" s="77">
        <f>IF(Z24=5,IF(Y37=1,1,0),0)</f>
        <v>0</v>
      </c>
      <c r="AA56" s="74">
        <f>IF(AA24=5,IF(AB37=1,1,0),0)</f>
        <v>0</v>
      </c>
      <c r="AC56" s="77">
        <f>IF(AC24=5,IF(AB37=1,1,0),0)</f>
        <v>0</v>
      </c>
      <c r="AD56" s="74">
        <f>IF(AD24=5,IF(AE37=1,1,0),0)</f>
        <v>0</v>
      </c>
      <c r="AF56" s="77">
        <f>IF(AF24=5,IF(AE37=1,1,0),0)</f>
        <v>0</v>
      </c>
      <c r="AG56" s="74">
        <f>SUM(B56:AF56)</f>
        <v>0</v>
      </c>
    </row>
    <row r="57" spans="1:38" s="74" customFormat="1" ht="38.25" hidden="1" customHeight="1" x14ac:dyDescent="0.25">
      <c r="A57" s="78"/>
      <c r="D57" s="77"/>
      <c r="G57" s="77"/>
      <c r="J57" s="77"/>
      <c r="K57" s="77"/>
      <c r="N57" s="77"/>
      <c r="Q57" s="77"/>
      <c r="T57" s="77"/>
      <c r="W57" s="77"/>
      <c r="Z57" s="77"/>
      <c r="AC57" s="77"/>
      <c r="AF57" s="77"/>
      <c r="AG57" s="78" t="s">
        <v>80</v>
      </c>
      <c r="AH57" s="307"/>
      <c r="AI57" s="307"/>
      <c r="AJ57" s="307"/>
      <c r="AK57" s="307"/>
      <c r="AL57" s="307"/>
    </row>
    <row r="58" spans="1:38" s="74" customFormat="1" ht="12.75" hidden="1" customHeight="1" x14ac:dyDescent="0.25">
      <c r="A58" s="74" t="s">
        <v>75</v>
      </c>
      <c r="B58" s="74">
        <f>IF(B24=1,B44,0)</f>
        <v>0</v>
      </c>
      <c r="D58" s="77">
        <f>IF(D24=1,B44,0)</f>
        <v>0</v>
      </c>
      <c r="E58" s="74">
        <f>IF(E24=1,E44,0)</f>
        <v>22</v>
      </c>
      <c r="G58" s="77">
        <f>IF(G24=1,E44,0)</f>
        <v>0</v>
      </c>
      <c r="H58" s="74">
        <f>IF(H24=1,H44,0)</f>
        <v>0</v>
      </c>
      <c r="J58" s="77">
        <f>IF(J24=1,H44,0)</f>
        <v>0</v>
      </c>
      <c r="K58" s="77"/>
      <c r="L58" s="74">
        <f>IF(L24=1,L44,0)</f>
        <v>23</v>
      </c>
      <c r="N58" s="77">
        <f>IF(N24=1,L44,0)</f>
        <v>0</v>
      </c>
      <c r="O58" s="74">
        <f>IF(O24=1,O44,0)</f>
        <v>0</v>
      </c>
      <c r="Q58" s="77">
        <f>IF(Q24=1,O44,0)</f>
        <v>0</v>
      </c>
      <c r="R58" s="74">
        <f>IF(R24=1,R44,0)</f>
        <v>24</v>
      </c>
      <c r="T58" s="77">
        <f>IF(T24=1,R44,0)</f>
        <v>0</v>
      </c>
      <c r="U58" s="74">
        <f>IF(U24=1,U44,0)</f>
        <v>0</v>
      </c>
      <c r="W58" s="77">
        <f>IF(W24=1,U44,0)</f>
        <v>0</v>
      </c>
      <c r="X58" s="74">
        <f>IF(X24=1,X44,0)</f>
        <v>0</v>
      </c>
      <c r="Z58" s="77">
        <f>IF(Z24=1,X44,0)</f>
        <v>0</v>
      </c>
      <c r="AA58" s="74">
        <f>IF(AA24=1,AA44,0)</f>
        <v>0</v>
      </c>
      <c r="AC58" s="77">
        <f>IF(AC24=1,AA44,0)</f>
        <v>0</v>
      </c>
      <c r="AD58" s="74">
        <f>IF(AD24=1,AD44,0)</f>
        <v>0</v>
      </c>
      <c r="AF58" s="77">
        <f>IF(AF24=1,AD44,0)</f>
        <v>0</v>
      </c>
      <c r="AG58" s="74">
        <f>SUM(B58:AF58)</f>
        <v>69</v>
      </c>
    </row>
    <row r="59" spans="1:38" s="74" customFormat="1" ht="12.75" hidden="1" customHeight="1" x14ac:dyDescent="0.25">
      <c r="A59" s="74" t="s">
        <v>76</v>
      </c>
      <c r="B59" s="74">
        <f>IF(B24=2,B44,0)</f>
        <v>20</v>
      </c>
      <c r="D59" s="77">
        <f>IF(D24=2,B44,0)</f>
        <v>0</v>
      </c>
      <c r="E59" s="74">
        <f>IF(E24=2,E44,0)</f>
        <v>0</v>
      </c>
      <c r="G59" s="77">
        <f>IF(G24=2,E44,0)</f>
        <v>0</v>
      </c>
      <c r="H59" s="74">
        <f>IF(H24=2,H44,0)</f>
        <v>23</v>
      </c>
      <c r="J59" s="77">
        <f>IF(J24=2,H44,0)</f>
        <v>0</v>
      </c>
      <c r="K59" s="77"/>
      <c r="L59" s="74">
        <f>IF(L24=2,L44,0)</f>
        <v>0</v>
      </c>
      <c r="N59" s="77">
        <f>IF(N24=2,L44,0)</f>
        <v>0</v>
      </c>
      <c r="O59" s="74">
        <f>IF(O24=2,O44,0)</f>
        <v>0</v>
      </c>
      <c r="Q59" s="77">
        <f>IF(Q24=2,O44,0)</f>
        <v>0</v>
      </c>
      <c r="R59" s="74">
        <f>IF(R24=2,R44,0)</f>
        <v>0</v>
      </c>
      <c r="T59" s="77">
        <f>IF(T24=2,R44,0)</f>
        <v>24</v>
      </c>
      <c r="U59" s="74">
        <f>IF(U24=2,U44,0)</f>
        <v>0</v>
      </c>
      <c r="W59" s="77">
        <f>IF(W24=2,U44,0)</f>
        <v>0</v>
      </c>
      <c r="X59" s="74">
        <f>IF(X24=2,X44,0)</f>
        <v>0</v>
      </c>
      <c r="Z59" s="77">
        <f>IF(Z24=2,X44,0)</f>
        <v>0</v>
      </c>
      <c r="AA59" s="74">
        <f>IF(AA24=2,AA44,0)</f>
        <v>0</v>
      </c>
      <c r="AC59" s="77">
        <f>IF(AC24=2,AA44,0)</f>
        <v>0</v>
      </c>
      <c r="AD59" s="74">
        <f>IF(AD24=2,AD44,0)</f>
        <v>0</v>
      </c>
      <c r="AF59" s="77">
        <f>IF(AF24=2,AD44,0)</f>
        <v>0</v>
      </c>
      <c r="AG59" s="74">
        <f>SUM(B59:AF59)</f>
        <v>67</v>
      </c>
    </row>
    <row r="60" spans="1:38" s="74" customFormat="1" ht="12.75" hidden="1" customHeight="1" x14ac:dyDescent="0.25">
      <c r="A60" s="74" t="s">
        <v>77</v>
      </c>
      <c r="B60" s="74">
        <f>IF(B24=3,B44,0)</f>
        <v>0</v>
      </c>
      <c r="D60" s="77">
        <f>IF(D24=3,B44,0)</f>
        <v>20</v>
      </c>
      <c r="E60" s="74">
        <f>IF(E24=3,E44,0)</f>
        <v>0</v>
      </c>
      <c r="G60" s="77">
        <f>IF(G24=3,E44,0)</f>
        <v>0</v>
      </c>
      <c r="H60" s="74">
        <f>IF(H24=3,H44,0)</f>
        <v>0</v>
      </c>
      <c r="J60" s="77">
        <f>IF(J24=3,H44,0)</f>
        <v>0</v>
      </c>
      <c r="K60" s="77"/>
      <c r="L60" s="74">
        <f>IF(L24=3,L44,0)</f>
        <v>0</v>
      </c>
      <c r="N60" s="77">
        <f>IF(N24=3,L44,0)</f>
        <v>23</v>
      </c>
      <c r="O60" s="74">
        <f>IF(O24=3,O44,0)</f>
        <v>24</v>
      </c>
      <c r="Q60" s="77">
        <f>IF(Q24=3,O44,0)</f>
        <v>0</v>
      </c>
      <c r="R60" s="74">
        <f>IF(R24=3,R44,0)</f>
        <v>0</v>
      </c>
      <c r="T60" s="77">
        <f>IF(T24=3,R44,0)</f>
        <v>0</v>
      </c>
      <c r="U60" s="74">
        <f>IF(U24=3,U44,0)</f>
        <v>0</v>
      </c>
      <c r="W60" s="77">
        <f>IF(W24=3,U44,0)</f>
        <v>0</v>
      </c>
      <c r="X60" s="74">
        <f>IF(X24=3,X44,0)</f>
        <v>0</v>
      </c>
      <c r="Z60" s="77">
        <f>IF(Z24=3,X44,0)</f>
        <v>0</v>
      </c>
      <c r="AA60" s="74">
        <f>IF(AA24=3,AA44,0)</f>
        <v>0</v>
      </c>
      <c r="AC60" s="77">
        <f>IF(AC24=3,AA44,0)</f>
        <v>0</v>
      </c>
      <c r="AD60" s="74">
        <f>IF(AD24=3,AD44,0)</f>
        <v>0</v>
      </c>
      <c r="AF60" s="77">
        <f>IF(AF24=3,AD44,0)</f>
        <v>0</v>
      </c>
      <c r="AG60" s="74">
        <f>SUM(B60:AF60)</f>
        <v>67</v>
      </c>
    </row>
    <row r="61" spans="1:38" s="74" customFormat="1" ht="12.75" hidden="1" customHeight="1" x14ac:dyDescent="0.25">
      <c r="A61" s="74" t="s">
        <v>78</v>
      </c>
      <c r="B61" s="74">
        <f>IF(B24=4,B44,0)</f>
        <v>0</v>
      </c>
      <c r="D61" s="77">
        <f>IF(D24=4,B44,0)</f>
        <v>0</v>
      </c>
      <c r="E61" s="74">
        <f>IF(E24=4,E44,0)</f>
        <v>0</v>
      </c>
      <c r="G61" s="77">
        <f>IF(G24=4,E44,0)</f>
        <v>22</v>
      </c>
      <c r="H61" s="74">
        <f>IF(H24=4,H44,0)</f>
        <v>0</v>
      </c>
      <c r="J61" s="77">
        <f>IF(J24=4,H44,0)</f>
        <v>23</v>
      </c>
      <c r="K61" s="77"/>
      <c r="L61" s="74">
        <f>IF(L24=4,L44,0)</f>
        <v>0</v>
      </c>
      <c r="N61" s="77">
        <f>IF(N24=4,L44,0)</f>
        <v>0</v>
      </c>
      <c r="O61" s="74">
        <f>IF(O24=4,O44,0)</f>
        <v>0</v>
      </c>
      <c r="Q61" s="77">
        <f>IF(Q24=4,O44,0)</f>
        <v>24</v>
      </c>
      <c r="R61" s="74">
        <f>IF(R24=4,R44,0)</f>
        <v>0</v>
      </c>
      <c r="T61" s="77">
        <f>IF(T24=4,R44,0)</f>
        <v>0</v>
      </c>
      <c r="U61" s="74">
        <f>IF(U24=4,U44,0)</f>
        <v>0</v>
      </c>
      <c r="W61" s="77">
        <f>IF(W24=4,U44,0)</f>
        <v>0</v>
      </c>
      <c r="X61" s="74">
        <f>IF(X24=4,X44,0)</f>
        <v>0</v>
      </c>
      <c r="Z61" s="77">
        <f>IF(Z24=4,X44,0)</f>
        <v>0</v>
      </c>
      <c r="AA61" s="74">
        <f>IF(AA24=4,AA44,0)</f>
        <v>0</v>
      </c>
      <c r="AC61" s="77">
        <f>IF(AC24=4,AA44,0)</f>
        <v>0</v>
      </c>
      <c r="AD61" s="74">
        <f>IF(AD24=4,AD44,0)</f>
        <v>0</v>
      </c>
      <c r="AF61" s="77">
        <f>IF(AF24=4,AD44,0)</f>
        <v>0</v>
      </c>
      <c r="AG61" s="74">
        <f>SUM(B61:AF61)</f>
        <v>69</v>
      </c>
    </row>
    <row r="62" spans="1:38" s="74" customFormat="1" ht="12.75" hidden="1" customHeight="1" x14ac:dyDescent="0.25">
      <c r="A62" s="74" t="s">
        <v>79</v>
      </c>
      <c r="B62" s="74">
        <f>IF(B24=5,B44,0)</f>
        <v>0</v>
      </c>
      <c r="D62" s="77">
        <f>IF(D24=5,B44,0)</f>
        <v>0</v>
      </c>
      <c r="E62" s="74">
        <f>IF(E24=5,E44,0)</f>
        <v>0</v>
      </c>
      <c r="G62" s="77">
        <f>IF(G24=5,E44,0)</f>
        <v>0</v>
      </c>
      <c r="H62" s="74">
        <f>IF(H24=5,H44,0)</f>
        <v>0</v>
      </c>
      <c r="J62" s="77">
        <f>IF(J24=5,H44,0)</f>
        <v>0</v>
      </c>
      <c r="K62" s="77"/>
      <c r="L62" s="74">
        <f>IF(L24=5,L44,0)</f>
        <v>0</v>
      </c>
      <c r="N62" s="77">
        <f>IF(N24=5,L44,0)</f>
        <v>0</v>
      </c>
      <c r="O62" s="74">
        <f>IF(O24=5,O44,0)</f>
        <v>0</v>
      </c>
      <c r="Q62" s="77">
        <f>IF(Q24=5,O44,0)</f>
        <v>0</v>
      </c>
      <c r="R62" s="74">
        <f>IF(R24=5,R44,0)</f>
        <v>0</v>
      </c>
      <c r="T62" s="77">
        <f>IF(T24=5,R44,0)</f>
        <v>0</v>
      </c>
      <c r="U62" s="74">
        <f>IF(U24=5,U44,0)</f>
        <v>0</v>
      </c>
      <c r="W62" s="77">
        <f>IF(W24=5,U44,0)</f>
        <v>0</v>
      </c>
      <c r="X62" s="74">
        <f>IF(X24=5,X44,0)</f>
        <v>0</v>
      </c>
      <c r="Z62" s="77">
        <f>IF(Z24=5,X44,0)</f>
        <v>0</v>
      </c>
      <c r="AA62" s="74">
        <f>IF(AA24=5,AA44,0)</f>
        <v>0</v>
      </c>
      <c r="AC62" s="77">
        <f>IF(AC24=5,AA44,0)</f>
        <v>0</v>
      </c>
      <c r="AD62" s="74">
        <f>IF(AD24=5,AD44,0)</f>
        <v>0</v>
      </c>
      <c r="AF62" s="77">
        <f>IF(AF24=5,AD44,0)</f>
        <v>0</v>
      </c>
      <c r="AG62" s="74">
        <f>SUM(B62:AF62)</f>
        <v>0</v>
      </c>
    </row>
    <row r="63" spans="1:38" s="74" customFormat="1" ht="38.25" hidden="1" customHeight="1" x14ac:dyDescent="0.25">
      <c r="A63" s="74" t="s">
        <v>81</v>
      </c>
      <c r="D63" s="77"/>
      <c r="G63" s="77"/>
      <c r="J63" s="77"/>
      <c r="K63" s="77"/>
      <c r="N63" s="77"/>
      <c r="Q63" s="77"/>
      <c r="T63" s="77"/>
      <c r="W63" s="77"/>
      <c r="Z63" s="77"/>
      <c r="AC63" s="77"/>
      <c r="AF63" s="77"/>
      <c r="AG63" s="78" t="s">
        <v>82</v>
      </c>
      <c r="AH63" s="74" t="s">
        <v>83</v>
      </c>
    </row>
    <row r="64" spans="1:38" s="74" customFormat="1" ht="12.75" hidden="1" customHeight="1" x14ac:dyDescent="0.25">
      <c r="A64" s="74" t="s">
        <v>69</v>
      </c>
      <c r="B64" s="74">
        <f>IF(B24=1,SUMIF(B31:B35,"&gt;0"),0)</f>
        <v>0</v>
      </c>
      <c r="D64" s="77">
        <f>IF(D24=1,SUMIF(D31:D35,"&gt;0"),0)</f>
        <v>0</v>
      </c>
      <c r="E64" s="74">
        <f>IF(E24=1,SUMIF(E31:E35,"&gt;0"),0)</f>
        <v>1</v>
      </c>
      <c r="G64" s="77">
        <f>IF(G24=1,SUMIF(G31:G35,"&gt;0"),0)</f>
        <v>0</v>
      </c>
      <c r="H64" s="74">
        <f>IF(H24=1,SUMIF(H31:H35,"&gt;0"),0)</f>
        <v>0</v>
      </c>
      <c r="J64" s="77">
        <f>IF(J24=1,SUMIF(J31:J35,"&gt;0"),0)</f>
        <v>0</v>
      </c>
      <c r="K64" s="77"/>
      <c r="L64" s="74">
        <f>IF(L24=1,SUMIF(L31:L35,"&gt;0"),0)</f>
        <v>0</v>
      </c>
      <c r="N64" s="77">
        <f>IF(N24=1,SUMIF(N31:N35,"&gt;0"),0)</f>
        <v>0</v>
      </c>
      <c r="O64" s="74">
        <f>IF(O24=1,SUMIF(O31:O35,"&gt;0"),0)</f>
        <v>0</v>
      </c>
      <c r="Q64" s="77">
        <f>IF(Q24=1,SUMIF(Q31:Q35,"&gt;0"),0)</f>
        <v>0</v>
      </c>
      <c r="R64" s="74">
        <f>IF(R24=1,SUMIF(R31:R35,"&gt;0"),0)</f>
        <v>1</v>
      </c>
      <c r="T64" s="77">
        <f>IF(T24=1,SUMIF(T31:T35,"&gt;0"),0)</f>
        <v>0</v>
      </c>
      <c r="U64" s="74">
        <f>IF(U24=1,SUMIF(U31:U35,"&gt;0"),0)</f>
        <v>0</v>
      </c>
      <c r="W64" s="77">
        <f>IF(W24=1,SUMIF(W31:W35,"&gt;0"),0)</f>
        <v>0</v>
      </c>
      <c r="X64" s="74">
        <f>IF(X24=1,SUMIF(X31:X35,"&gt;0"),0)</f>
        <v>0</v>
      </c>
      <c r="Z64" s="77">
        <f>IF(Z24=1,SUMIF(Z31:Z35,"&gt;0"),0)</f>
        <v>0</v>
      </c>
      <c r="AA64" s="74">
        <f>IF(AA24=1,SUMIF(AA31:AA35,"&gt;0"),0)</f>
        <v>0</v>
      </c>
      <c r="AC64" s="77">
        <f>IF(AC24=1,SUMIF(AC31:AC35,"&gt;0"),0)</f>
        <v>0</v>
      </c>
      <c r="AD64" s="74">
        <f>IF(AD24=1,SUMIF(AD31:AD35,"&gt;0"),0)</f>
        <v>0</v>
      </c>
      <c r="AF64" s="77">
        <f>IF(AF24=1,SUMIF(AF31:AF35,"&gt;0"),0)</f>
        <v>0</v>
      </c>
      <c r="AG64" s="74">
        <f>SUM(B64:AF64)</f>
        <v>2</v>
      </c>
      <c r="AH64" s="74">
        <f>AG72-AG64</f>
        <v>1</v>
      </c>
    </row>
    <row r="65" spans="1:81" s="74" customFormat="1" ht="12.75" hidden="1" customHeight="1" x14ac:dyDescent="0.25">
      <c r="A65" s="74" t="s">
        <v>70</v>
      </c>
      <c r="B65" s="74">
        <f>IF(B24=2,SUMIF(B31:B35,"&gt;0"),0)</f>
        <v>0</v>
      </c>
      <c r="D65" s="77">
        <f>IF(D24=2,SUMIF(D31:D35,"&gt;0"),0)</f>
        <v>0</v>
      </c>
      <c r="E65" s="74">
        <f>IF(E24=2,SUMIF(E31:E35,"&gt;0"),0)</f>
        <v>0</v>
      </c>
      <c r="G65" s="77">
        <f>IF(G24=2,SUMIF(G31:G35,"&gt;0"),0)</f>
        <v>0</v>
      </c>
      <c r="H65" s="74">
        <f>IF(H24=2,SUMIF(H31:H35,"&gt;0"),0)</f>
        <v>0</v>
      </c>
      <c r="J65" s="77">
        <f>IF(J24=2,SUMIF(J31:J35,"&gt;0"),0)</f>
        <v>0</v>
      </c>
      <c r="K65" s="77"/>
      <c r="L65" s="74">
        <f>IF(L24=2,SUMIF(L31:L35,"&gt;0"),0)</f>
        <v>0</v>
      </c>
      <c r="N65" s="77">
        <f>IF(N24=2,SUMIF(N31:N35,"&gt;0"),0)</f>
        <v>0</v>
      </c>
      <c r="O65" s="74">
        <f>IF(O24=2,SUMIF(O31:O35,"&gt;0"),0)</f>
        <v>0</v>
      </c>
      <c r="Q65" s="77">
        <f>IF(Q24=2,SUMIF(Q31:Q35,"&gt;0"),0)</f>
        <v>0</v>
      </c>
      <c r="R65" s="74">
        <f>IF(R24=2,SUMIF(R31:R35,"&gt;0"),0)</f>
        <v>0</v>
      </c>
      <c r="T65" s="77">
        <f>IF(T24=2,SUMIF(T31:T35,"&gt;0"),0)</f>
        <v>0</v>
      </c>
      <c r="U65" s="74">
        <f>IF(U24=2,SUMIF(U31:U35,"&gt;0"),0)</f>
        <v>0</v>
      </c>
      <c r="W65" s="77">
        <f>IF(W24=2,SUMIF(W31:W35,"&gt;0"),0)</f>
        <v>0</v>
      </c>
      <c r="X65" s="74">
        <f>IF(X24=2,SUMIF(X31:X35,"&gt;0"),0)</f>
        <v>0</v>
      </c>
      <c r="Z65" s="77">
        <f>IF(Z24=2,SUMIF(Z31:Z35,"&gt;0"),0)</f>
        <v>0</v>
      </c>
      <c r="AA65" s="74">
        <f>IF(AA24=2,SUMIF(AA31:AA35,"&gt;0"),0)</f>
        <v>0</v>
      </c>
      <c r="AC65" s="77">
        <f>IF(AC24=2,SUMIF(AC31:AC35,"&gt;0"),0)</f>
        <v>0</v>
      </c>
      <c r="AD65" s="74">
        <f>IF(AD24=2,SUMIF(AD31:AD35,"&gt;0"),0)</f>
        <v>0</v>
      </c>
      <c r="AF65" s="77">
        <f>IF(AF24=2,SUMIF(AF31:AF35,"&gt;0"),0)</f>
        <v>0</v>
      </c>
      <c r="AG65" s="74">
        <f>SUM(B65:AF65)</f>
        <v>0</v>
      </c>
      <c r="AH65" s="74">
        <f>AG73-AG65</f>
        <v>3</v>
      </c>
    </row>
    <row r="66" spans="1:81" s="74" customFormat="1" ht="12.75" hidden="1" customHeight="1" x14ac:dyDescent="0.25">
      <c r="A66" s="74" t="s">
        <v>71</v>
      </c>
      <c r="B66" s="74">
        <f>IF(B24=3,SUMIF(B31:B35,"&gt;0"),0)</f>
        <v>0</v>
      </c>
      <c r="D66" s="77">
        <f>IF(D24=3,SUMIF(D31:D35,"&gt;0"),0)</f>
        <v>1</v>
      </c>
      <c r="E66" s="74">
        <f>IF(E24=3,SUMIF(E31:E35,"&gt;0"),0)</f>
        <v>0</v>
      </c>
      <c r="G66" s="77">
        <f>IF(G24=3,SUMIF(G31:G35,"&gt;0"),0)</f>
        <v>0</v>
      </c>
      <c r="H66" s="74">
        <f>IF(H24=3,SUMIF(H31:H35,"&gt;0"),0)</f>
        <v>0</v>
      </c>
      <c r="J66" s="77">
        <f>IF(J24=3,SUMIF(J31:J35,"&gt;0"),0)</f>
        <v>0</v>
      </c>
      <c r="K66" s="77"/>
      <c r="L66" s="74">
        <f>IF(L24=3,SUMIF(L31:L35,"&gt;0"),0)</f>
        <v>0</v>
      </c>
      <c r="N66" s="77">
        <f>IF(N24=3,SUMIF(N31:N35,"&gt;0"),0)</f>
        <v>1</v>
      </c>
      <c r="O66" s="74">
        <f>IF(O24=3,SUMIF(O31:O35,"&gt;0"),0)</f>
        <v>1</v>
      </c>
      <c r="Q66" s="77">
        <f>IF(Q24=3,SUMIF(Q31:Q35,"&gt;0"),0)</f>
        <v>0</v>
      </c>
      <c r="R66" s="74">
        <f>IF(R24=3,SUMIF(R31:R35,"&gt;0"),0)</f>
        <v>0</v>
      </c>
      <c r="T66" s="77">
        <f>IF(T24=3,SUMIF(T31:T35,"&gt;0"),0)</f>
        <v>0</v>
      </c>
      <c r="U66" s="74">
        <f>IF(U24=3,SUMIF(U31:U35,"&gt;0"),0)</f>
        <v>0</v>
      </c>
      <c r="W66" s="77">
        <f>IF(W24=3,SUMIF(W31:W35,"&gt;0"),0)</f>
        <v>0</v>
      </c>
      <c r="X66" s="74">
        <f>IF(X24=3,SUMIF(X31:X35,"&gt;0"),0)</f>
        <v>0</v>
      </c>
      <c r="Z66" s="77">
        <f>IF(Z24=3,SUMIF(Z31:Z35,"&gt;0"),0)</f>
        <v>0</v>
      </c>
      <c r="AA66" s="74">
        <f>IF(AA24=3,SUMIF(AA31:AA35,"&gt;0"),0)</f>
        <v>0</v>
      </c>
      <c r="AC66" s="77">
        <f>IF(AC24=3,SUMIF(AC31:AC35,"&gt;0"),0)</f>
        <v>0</v>
      </c>
      <c r="AD66" s="74">
        <f>IF(AD24=3,SUMIF(AD31:AD35,"&gt;0"),0)</f>
        <v>0</v>
      </c>
      <c r="AF66" s="77">
        <f>IF(AF24=3,SUMIF(AF31:AF35,"&gt;0"),0)</f>
        <v>0</v>
      </c>
      <c r="AG66" s="74">
        <f>SUM(B66:AF66)</f>
        <v>3</v>
      </c>
      <c r="AH66" s="74">
        <f>AG74-AG66</f>
        <v>0</v>
      </c>
    </row>
    <row r="67" spans="1:81" s="74" customFormat="1" ht="12.75" hidden="1" customHeight="1" x14ac:dyDescent="0.25">
      <c r="A67" s="74" t="s">
        <v>72</v>
      </c>
      <c r="B67" s="74">
        <f>IF(B24=4,SUMIF(B31:B35,"&gt;0"),0)</f>
        <v>0</v>
      </c>
      <c r="D67" s="77">
        <f>IF(D24=4,SUMIF(D31:D35,"&gt;0"),0)</f>
        <v>0</v>
      </c>
      <c r="E67" s="74">
        <f>IF(E24=4,SUMIF(E31:E35,"&gt;0"),0)</f>
        <v>0</v>
      </c>
      <c r="G67" s="77">
        <f>IF(G24=4,SUMIF(G31:G35,"&gt;0"),0)</f>
        <v>0</v>
      </c>
      <c r="H67" s="74">
        <f>IF(H24=4,SUMIF(H31:H35,"&gt;0"),0)</f>
        <v>0</v>
      </c>
      <c r="J67" s="77">
        <f>IF(J24=4,SUMIF(J31:J35,"&gt;0"),0)</f>
        <v>1</v>
      </c>
      <c r="K67" s="77"/>
      <c r="L67" s="74">
        <f>IF(L24=4,SUMIF(L31:L35,"&gt;0"),0)</f>
        <v>0</v>
      </c>
      <c r="N67" s="77">
        <f>IF(N24=4,SUMIF(N31:N35,"&gt;0"),0)</f>
        <v>0</v>
      </c>
      <c r="O67" s="74">
        <f>IF(O24=4,SUMIF(O31:O35,"&gt;0"),0)</f>
        <v>0</v>
      </c>
      <c r="Q67" s="77">
        <f>IF(Q24=4,SUMIF(Q31:Q35,"&gt;0"),0)</f>
        <v>0</v>
      </c>
      <c r="R67" s="74">
        <f>IF(R24=4,SUMIF(R31:R35,"&gt;0"),0)</f>
        <v>0</v>
      </c>
      <c r="T67" s="77">
        <f>IF(T24=4,SUMIF(T31:T35,"&gt;0"),0)</f>
        <v>0</v>
      </c>
      <c r="U67" s="74">
        <f>IF(U24=4,SUMIF(U31:U35,"&gt;0"),0)</f>
        <v>0</v>
      </c>
      <c r="W67" s="77">
        <f>IF(W24=4,SUMIF(W31:W35,"&gt;0"),0)</f>
        <v>0</v>
      </c>
      <c r="X67" s="74">
        <f>IF(X24=4,SUMIF(X31:X35,"&gt;0"),0)</f>
        <v>0</v>
      </c>
      <c r="Z67" s="77">
        <f>IF(Z24=4,SUMIF(Z31:Z35,"&gt;0"),0)</f>
        <v>0</v>
      </c>
      <c r="AA67" s="74">
        <f>IF(AA24=4,SUMIF(AA31:AA35,"&gt;0"),0)</f>
        <v>0</v>
      </c>
      <c r="AC67" s="77">
        <f>IF(AC24=4,SUMIF(AC31:AC35,"&gt;0"),0)</f>
        <v>0</v>
      </c>
      <c r="AD67" s="74">
        <f>IF(AD24=4,SUMIF(AD31:AD35,"&gt;0"),0)</f>
        <v>0</v>
      </c>
      <c r="AF67" s="77">
        <f>IF(AF24=4,SUMIF(AF31:AF35,"&gt;0"),0)</f>
        <v>0</v>
      </c>
      <c r="AG67" s="74">
        <f>SUM(B67:AF67)</f>
        <v>1</v>
      </c>
      <c r="AH67" s="74">
        <f>AG75-AG67</f>
        <v>2</v>
      </c>
    </row>
    <row r="68" spans="1:81" s="74" customFormat="1" ht="12.75" hidden="1" customHeight="1" x14ac:dyDescent="0.25">
      <c r="A68" s="74" t="s">
        <v>73</v>
      </c>
      <c r="B68" s="74">
        <f>IF(B24=5,SUMIF(B31:B35,"&gt;0"),0)</f>
        <v>0</v>
      </c>
      <c r="D68" s="77">
        <f>IF(D24=5,SUMIF(D31:D35,"&gt;0"),0)</f>
        <v>0</v>
      </c>
      <c r="E68" s="74">
        <f>IF(E24=5,SUMIF(E31:E35,"&gt;0"),0)</f>
        <v>0</v>
      </c>
      <c r="G68" s="77">
        <f>IF(G24=5,SUMIF(G31:G35,"&gt;0"),0)</f>
        <v>0</v>
      </c>
      <c r="H68" s="74">
        <f>IF(H24=5,SUMIF(H31:H35,"&gt;0"),0)</f>
        <v>0</v>
      </c>
      <c r="J68" s="77">
        <f>IF(J24=5,SUMIF(J31:J35,"&gt;0"),0)</f>
        <v>0</v>
      </c>
      <c r="K68" s="77"/>
      <c r="L68" s="74">
        <f>IF(L24=5,SUMIF(L31:L35,"&gt;0"),0)</f>
        <v>0</v>
      </c>
      <c r="N68" s="77">
        <f>IF(N24=5,SUMIF(N31:N35,"&gt;0"),0)</f>
        <v>0</v>
      </c>
      <c r="O68" s="74">
        <f>IF(O24=5,SUMIF(O31:O35,"&gt;0"),0)</f>
        <v>0</v>
      </c>
      <c r="Q68" s="77">
        <f>IF(Q24=5,SUMIF(Q31:Q35,"&gt;0"),0)</f>
        <v>0</v>
      </c>
      <c r="R68" s="74">
        <f>IF(R24=5,SUMIF(R31:R35,"&gt;0"),0)</f>
        <v>0</v>
      </c>
      <c r="T68" s="77">
        <f>IF(T24=5,SUMIF(T31:T35,"&gt;0"),0)</f>
        <v>0</v>
      </c>
      <c r="U68" s="74">
        <f>IF(U24=5,SUMIF(U31:U35,"&gt;0"),0)</f>
        <v>0</v>
      </c>
      <c r="W68" s="77">
        <f>IF(W24=5,SUMIF(W31:W35,"&gt;0"),0)</f>
        <v>0</v>
      </c>
      <c r="X68" s="74">
        <f>IF(X24=5,SUMIF(X31:X35,"&gt;0"),0)</f>
        <v>0</v>
      </c>
      <c r="Z68" s="77">
        <f>IF(Z24=5,SUMIF(Z31:Z35,"&gt;0"),0)</f>
        <v>0</v>
      </c>
      <c r="AA68" s="74">
        <f>IF(AA24=5,SUMIF(AA31:AA35,"&gt;0"),0)</f>
        <v>0</v>
      </c>
      <c r="AC68" s="77">
        <f>IF(AC24=5,SUMIF(AC31:AC35,"&gt;0"),0)</f>
        <v>0</v>
      </c>
      <c r="AD68" s="74">
        <f>IF(AD24=5,SUMIF(AD31:AD35,"&gt;0"),0)</f>
        <v>0</v>
      </c>
      <c r="AF68" s="77">
        <f>IF(AF24=5,SUMIF(AF31:AF35,"&gt;0"),0)</f>
        <v>0</v>
      </c>
      <c r="AG68" s="74">
        <f>SUM(B68:AF68)</f>
        <v>0</v>
      </c>
      <c r="AH68" s="74">
        <f>AG76-AG68</f>
        <v>0</v>
      </c>
    </row>
    <row r="69" spans="1:81" s="74" customFormat="1" ht="12.75" hidden="1" customHeight="1" x14ac:dyDescent="0.25">
      <c r="D69" s="77"/>
      <c r="G69" s="77"/>
      <c r="J69" s="77"/>
      <c r="K69" s="77"/>
      <c r="N69" s="77"/>
      <c r="Q69" s="77"/>
      <c r="T69" s="77"/>
      <c r="W69" s="77"/>
      <c r="Z69" s="77"/>
      <c r="AC69" s="77"/>
      <c r="AF69" s="77"/>
    </row>
    <row r="70" spans="1:81" s="74" customFormat="1" ht="12.75" hidden="1" customHeight="1" x14ac:dyDescent="0.25">
      <c r="D70" s="77"/>
      <c r="G70" s="77"/>
      <c r="J70" s="77"/>
      <c r="K70" s="77"/>
      <c r="N70" s="77"/>
      <c r="Q70" s="77"/>
      <c r="T70" s="77"/>
      <c r="W70" s="77"/>
      <c r="Z70" s="77"/>
      <c r="AC70" s="77"/>
      <c r="AF70" s="77"/>
    </row>
    <row r="71" spans="1:81" s="74" customFormat="1" ht="51" hidden="1" customHeight="1" x14ac:dyDescent="0.25">
      <c r="A71" s="78" t="s">
        <v>84</v>
      </c>
      <c r="C71" s="74">
        <f>SUMIF(B64:D68,"&gt;0")</f>
        <v>1</v>
      </c>
      <c r="D71" s="77"/>
      <c r="F71" s="74">
        <f>SUMIF(E64:G68,"&gt;0")</f>
        <v>1</v>
      </c>
      <c r="G71" s="77"/>
      <c r="I71" s="74">
        <f>SUMIF(H64:J68,"&gt;0")</f>
        <v>1</v>
      </c>
      <c r="J71" s="77"/>
      <c r="K71" s="77"/>
      <c r="M71" s="74">
        <f>SUMIF(L64:N68,"&gt;0")</f>
        <v>1</v>
      </c>
      <c r="N71" s="77"/>
      <c r="P71" s="74">
        <f>SUMIF(O64:Q68,"&gt;0")</f>
        <v>1</v>
      </c>
      <c r="Q71" s="77"/>
      <c r="S71" s="74">
        <f>SUMIF(R64:T68,"&gt;0")</f>
        <v>1</v>
      </c>
      <c r="T71" s="77"/>
      <c r="V71" s="74">
        <f>SUMIF(U64:W68,"&gt;0")</f>
        <v>0</v>
      </c>
      <c r="W71" s="77"/>
      <c r="Y71" s="74">
        <f>SUMIF(X64:Z68,"&gt;0")</f>
        <v>0</v>
      </c>
      <c r="Z71" s="77"/>
      <c r="AB71" s="74">
        <f>SUMIF(AA64:AC68,"&gt;0")</f>
        <v>0</v>
      </c>
      <c r="AC71" s="77"/>
      <c r="AE71" s="74">
        <f>SUMIF(AD64:AF68,"&gt;0")</f>
        <v>0</v>
      </c>
      <c r="AF71" s="77"/>
      <c r="AG71" s="78" t="s">
        <v>85</v>
      </c>
    </row>
    <row r="72" spans="1:81" s="74" customFormat="1" ht="12.75" hidden="1" customHeight="1" x14ac:dyDescent="0.25">
      <c r="A72" s="74" t="s">
        <v>75</v>
      </c>
      <c r="B72" s="74">
        <f>IF(B24=1,C71,0)</f>
        <v>0</v>
      </c>
      <c r="D72" s="77">
        <f>IF(D24=1,C71,0)</f>
        <v>0</v>
      </c>
      <c r="E72" s="74">
        <f>IF(E24=1,F71,0)</f>
        <v>1</v>
      </c>
      <c r="G72" s="77">
        <f>IF(G24=1,F71,0)</f>
        <v>0</v>
      </c>
      <c r="H72" s="74">
        <f>IF(H24=1,I71,0)</f>
        <v>0</v>
      </c>
      <c r="J72" s="77">
        <f>IF(J24=1,I71,0)</f>
        <v>0</v>
      </c>
      <c r="K72" s="77"/>
      <c r="L72" s="74">
        <f>IF(L24=1,M71,0)</f>
        <v>1</v>
      </c>
      <c r="N72" s="77">
        <f>IF(N24=1,M71,0)</f>
        <v>0</v>
      </c>
      <c r="O72" s="74">
        <f>IF(O24=1,P71,0)</f>
        <v>0</v>
      </c>
      <c r="Q72" s="77">
        <f>IF(Q24=1,P71,0)</f>
        <v>0</v>
      </c>
      <c r="R72" s="74">
        <f>IF(R24=1,S71,0)</f>
        <v>1</v>
      </c>
      <c r="T72" s="77">
        <f>IF(T24=1,S71,0)</f>
        <v>0</v>
      </c>
      <c r="U72" s="74">
        <f>IF(U24=1,V71,0)</f>
        <v>0</v>
      </c>
      <c r="W72" s="77">
        <f>IF(W24=1,V71,0)</f>
        <v>0</v>
      </c>
      <c r="X72" s="74">
        <f>IF(X24=1,Y71,0)</f>
        <v>0</v>
      </c>
      <c r="Z72" s="77">
        <f>IF(Z24=1,Y71,0)</f>
        <v>0</v>
      </c>
      <c r="AA72" s="74">
        <f>IF(AA24=1,AB71,0)</f>
        <v>0</v>
      </c>
      <c r="AC72" s="77">
        <f>IF(AC24=1,AB71,0)</f>
        <v>0</v>
      </c>
      <c r="AD72" s="74">
        <f>IF(AD24=1,AE71,0)</f>
        <v>0</v>
      </c>
      <c r="AF72" s="77">
        <f>IF(AF24=1,AE71,0)</f>
        <v>0</v>
      </c>
      <c r="AG72" s="74">
        <f>SUM(B72:AF72)</f>
        <v>3</v>
      </c>
    </row>
    <row r="73" spans="1:81" s="74" customFormat="1" ht="12.75" hidden="1" customHeight="1" x14ac:dyDescent="0.25">
      <c r="A73" s="74" t="s">
        <v>76</v>
      </c>
      <c r="B73" s="74">
        <f>IF(B24=2,C71,0)</f>
        <v>1</v>
      </c>
      <c r="D73" s="77">
        <f>IF(D24=2,C71,0)</f>
        <v>0</v>
      </c>
      <c r="E73" s="74">
        <f>IF(E24=2,F71,0)</f>
        <v>0</v>
      </c>
      <c r="G73" s="77">
        <f>IF(G24=2,F71,0)</f>
        <v>0</v>
      </c>
      <c r="H73" s="74">
        <f>IF(H24=2,I71,0)</f>
        <v>1</v>
      </c>
      <c r="J73" s="77">
        <f>IF(J24=2,I71,0)</f>
        <v>0</v>
      </c>
      <c r="K73" s="77"/>
      <c r="L73" s="74">
        <f>IF(L24=2,M71,0)</f>
        <v>0</v>
      </c>
      <c r="N73" s="77">
        <f>IF(N24=2,M71,0)</f>
        <v>0</v>
      </c>
      <c r="O73" s="74">
        <f>IF(O24=2,P71,0)</f>
        <v>0</v>
      </c>
      <c r="Q73" s="77">
        <f>IF(Q24=2,P71,0)</f>
        <v>0</v>
      </c>
      <c r="R73" s="74">
        <f>IF(R24=2,S71,0)</f>
        <v>0</v>
      </c>
      <c r="T73" s="77">
        <f>IF(T24=2,S71,0)</f>
        <v>1</v>
      </c>
      <c r="U73" s="74">
        <f>IF(U24=2,V71,0)</f>
        <v>0</v>
      </c>
      <c r="W73" s="77">
        <f>IF(W24=2,V71,0)</f>
        <v>0</v>
      </c>
      <c r="X73" s="74">
        <f>IF(X24=2,Y71,0)</f>
        <v>0</v>
      </c>
      <c r="Z73" s="77">
        <f>IF(Z24=2,Y71,0)</f>
        <v>0</v>
      </c>
      <c r="AA73" s="74">
        <f>IF(AA24=2,AB71,0)</f>
        <v>0</v>
      </c>
      <c r="AC73" s="77">
        <f>IF(AC24=2,AB71,0)</f>
        <v>0</v>
      </c>
      <c r="AD73" s="74">
        <f>IF(AD24=2,AE71,0)</f>
        <v>0</v>
      </c>
      <c r="AF73" s="77">
        <f>IF(AF24=2,AE71,0)</f>
        <v>0</v>
      </c>
      <c r="AG73" s="74">
        <f>SUM(B73:AF73)</f>
        <v>3</v>
      </c>
    </row>
    <row r="74" spans="1:81" s="74" customFormat="1" ht="12.75" hidden="1" customHeight="1" x14ac:dyDescent="0.25">
      <c r="A74" s="74" t="s">
        <v>77</v>
      </c>
      <c r="B74" s="74">
        <f>IF(B24=3,C71,0)</f>
        <v>0</v>
      </c>
      <c r="D74" s="77">
        <f>IF(D24=3,C71,0)</f>
        <v>1</v>
      </c>
      <c r="E74" s="74">
        <f>IF(E24=3,F71,0)</f>
        <v>0</v>
      </c>
      <c r="G74" s="77">
        <f>IF(G24=3,F71,0)</f>
        <v>0</v>
      </c>
      <c r="H74" s="74">
        <f>IF(H24=3,I71,0)</f>
        <v>0</v>
      </c>
      <c r="J74" s="77">
        <f>IF(J24=3,I71,0)</f>
        <v>0</v>
      </c>
      <c r="K74" s="77"/>
      <c r="L74" s="74">
        <f>IF(L24=3,M71,0)</f>
        <v>0</v>
      </c>
      <c r="N74" s="77">
        <f>IF(N24=3,M71,0)</f>
        <v>1</v>
      </c>
      <c r="O74" s="74">
        <f>IF(O24=3,P71,0)</f>
        <v>1</v>
      </c>
      <c r="Q74" s="77">
        <f>IF(Q24=3,P71,0)</f>
        <v>0</v>
      </c>
      <c r="R74" s="74">
        <f>IF(R24=3,S71,0)</f>
        <v>0</v>
      </c>
      <c r="T74" s="77">
        <f>IF(T24=3,S71,0)</f>
        <v>0</v>
      </c>
      <c r="U74" s="74">
        <f>IF(U24=3,V71,0)</f>
        <v>0</v>
      </c>
      <c r="W74" s="77">
        <f>IF(W24=3,V71,0)</f>
        <v>0</v>
      </c>
      <c r="X74" s="74">
        <f>IF(X24=3,Y71,0)</f>
        <v>0</v>
      </c>
      <c r="Z74" s="77">
        <f>IF(Z24=3,Y71,0)</f>
        <v>0</v>
      </c>
      <c r="AA74" s="74">
        <f>IF(AA24=3,AB71,0)</f>
        <v>0</v>
      </c>
      <c r="AC74" s="77">
        <f>IF(AC24=3,AB71,0)</f>
        <v>0</v>
      </c>
      <c r="AD74" s="74">
        <f>IF(AD24=3,AE71,0)</f>
        <v>0</v>
      </c>
      <c r="AF74" s="77">
        <f>IF(AF24=3,AE71,0)</f>
        <v>0</v>
      </c>
      <c r="AG74" s="74">
        <f>SUM(B74:AF74)</f>
        <v>3</v>
      </c>
    </row>
    <row r="75" spans="1:81" s="74" customFormat="1" ht="12.75" hidden="1" customHeight="1" x14ac:dyDescent="0.25">
      <c r="A75" s="74" t="s">
        <v>78</v>
      </c>
      <c r="B75" s="74">
        <f>IF(B24=4,C71,0)</f>
        <v>0</v>
      </c>
      <c r="D75" s="77">
        <f>IF(D24=4,C71,0)</f>
        <v>0</v>
      </c>
      <c r="E75" s="74">
        <f>IF(E24=4,F71,0)</f>
        <v>0</v>
      </c>
      <c r="G75" s="77">
        <f>IF(G24=4,F71,0)</f>
        <v>1</v>
      </c>
      <c r="H75" s="74">
        <f>IF(H24=4,I71,0)</f>
        <v>0</v>
      </c>
      <c r="J75" s="77">
        <f>IF(J24=4,I71,0)</f>
        <v>1</v>
      </c>
      <c r="K75" s="77"/>
      <c r="L75" s="74">
        <f>IF(L24=4,M71,0)</f>
        <v>0</v>
      </c>
      <c r="N75" s="77">
        <f>IF(N24=4,M71,0)</f>
        <v>0</v>
      </c>
      <c r="O75" s="74">
        <f>IF(O24=4,P71,0)</f>
        <v>0</v>
      </c>
      <c r="Q75" s="77">
        <f>IF(Q24=4,P71,0)</f>
        <v>1</v>
      </c>
      <c r="R75" s="74">
        <f>IF(R24=4,S71,0)</f>
        <v>0</v>
      </c>
      <c r="T75" s="77">
        <f>IF(T24=4,S71,0)</f>
        <v>0</v>
      </c>
      <c r="U75" s="74">
        <f>IF(U24=4,V71,0)</f>
        <v>0</v>
      </c>
      <c r="W75" s="77">
        <f>IF(W24=4,V71,0)</f>
        <v>0</v>
      </c>
      <c r="X75" s="74">
        <f>IF(X24=4,Y71,0)</f>
        <v>0</v>
      </c>
      <c r="Z75" s="77">
        <f>IF(Z24=4,Y71,0)</f>
        <v>0</v>
      </c>
      <c r="AA75" s="74">
        <f>IF(AA24=4,AB71,0)</f>
        <v>0</v>
      </c>
      <c r="AC75" s="77">
        <f>IF(AC24=4,AB71,0)</f>
        <v>0</v>
      </c>
      <c r="AD75" s="74">
        <f>IF(AD24=4,AE71,0)</f>
        <v>0</v>
      </c>
      <c r="AF75" s="77">
        <f>IF(AF24=4,AE71,0)</f>
        <v>0</v>
      </c>
      <c r="AG75" s="74">
        <f>SUM(B75:AF75)</f>
        <v>3</v>
      </c>
    </row>
    <row r="76" spans="1:81" s="74" customFormat="1" ht="12.75" hidden="1" customHeight="1" x14ac:dyDescent="0.25">
      <c r="A76" s="74" t="s">
        <v>79</v>
      </c>
      <c r="B76" s="74">
        <f>IF(B24=5,C71,0)</f>
        <v>0</v>
      </c>
      <c r="D76" s="77">
        <f>IF(D24=5,C71,0)</f>
        <v>0</v>
      </c>
      <c r="E76" s="74">
        <f>IF(E24=5,F71,0)</f>
        <v>0</v>
      </c>
      <c r="G76" s="77">
        <f>IF(G24=5,F71,0)</f>
        <v>0</v>
      </c>
      <c r="H76" s="74">
        <f>IF(H24=5,I71,0)</f>
        <v>0</v>
      </c>
      <c r="J76" s="77">
        <f>IF(J24=5,I71,0)</f>
        <v>0</v>
      </c>
      <c r="K76" s="77"/>
      <c r="L76" s="74">
        <f>IF(L24=5,M71,0)</f>
        <v>0</v>
      </c>
      <c r="N76" s="77">
        <f>IF(N24=5,M71,0)</f>
        <v>0</v>
      </c>
      <c r="O76" s="74">
        <f>IF(O24=5,P71,0)</f>
        <v>0</v>
      </c>
      <c r="Q76" s="77">
        <f>IF(Q24=5,P71,0)</f>
        <v>0</v>
      </c>
      <c r="R76" s="74">
        <f>IF(R24=5,S71,0)</f>
        <v>0</v>
      </c>
      <c r="T76" s="77">
        <f>IF(T24=5,S71,0)</f>
        <v>0</v>
      </c>
      <c r="U76" s="74">
        <f>IF(U24=5,V71,0)</f>
        <v>0</v>
      </c>
      <c r="W76" s="77">
        <f>IF(W24=5,V71,0)</f>
        <v>0</v>
      </c>
      <c r="X76" s="74">
        <f>IF(X24=5,Y71,0)</f>
        <v>0</v>
      </c>
      <c r="Z76" s="77">
        <f>IF(Z24=5,Y71,0)</f>
        <v>0</v>
      </c>
      <c r="AA76" s="74">
        <f>IF(AA24=5,AB71,0)</f>
        <v>0</v>
      </c>
      <c r="AC76" s="77">
        <f>IF(AC24=5,AB71,0)</f>
        <v>0</v>
      </c>
      <c r="AD76" s="74">
        <f>IF(AD24=5,AE71,0)</f>
        <v>0</v>
      </c>
      <c r="AF76" s="77">
        <f>IF(AF24=5,AE71,0)</f>
        <v>0</v>
      </c>
      <c r="AG76" s="74">
        <f>SUM(B76:AF76)</f>
        <v>0</v>
      </c>
    </row>
    <row r="77" spans="1:81" hidden="1" x14ac:dyDescent="0.25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80"/>
      <c r="AP77" s="80"/>
      <c r="AQ77" s="80"/>
      <c r="AR77" s="80"/>
      <c r="AS77" s="81"/>
      <c r="AT77" s="81"/>
      <c r="AU77" s="81"/>
      <c r="AV77" s="81"/>
      <c r="AW77" s="82"/>
      <c r="BB77" s="82"/>
      <c r="BE77" s="82"/>
      <c r="BH77" s="82"/>
      <c r="BK77" s="82"/>
      <c r="BN77" s="82"/>
      <c r="BQ77" s="82"/>
      <c r="BT77" s="82"/>
      <c r="BW77" s="82"/>
      <c r="BZ77" s="82"/>
      <c r="CC77" s="82"/>
    </row>
    <row r="78" spans="1:81" s="81" customFormat="1" hidden="1" x14ac:dyDescent="0.25">
      <c r="A78" s="83"/>
      <c r="B78" s="83"/>
      <c r="C78" s="83" t="s">
        <v>86</v>
      </c>
      <c r="D78" s="83">
        <v>1</v>
      </c>
      <c r="E78" s="83"/>
      <c r="F78" s="83"/>
      <c r="G78" s="83">
        <v>2</v>
      </c>
      <c r="H78" s="83"/>
      <c r="I78" s="83"/>
      <c r="J78" s="83">
        <v>3</v>
      </c>
      <c r="K78" s="83"/>
      <c r="L78" s="83"/>
      <c r="M78" s="83"/>
      <c r="N78" s="83">
        <v>4</v>
      </c>
      <c r="O78" s="83"/>
      <c r="P78" s="83"/>
      <c r="Q78" s="83">
        <v>5</v>
      </c>
      <c r="R78" s="83"/>
      <c r="S78" s="83"/>
      <c r="T78" s="83">
        <v>6</v>
      </c>
      <c r="U78" s="83"/>
      <c r="V78" s="83"/>
      <c r="W78" s="83">
        <v>7</v>
      </c>
      <c r="X78" s="83"/>
      <c r="Y78" s="83"/>
      <c r="Z78" s="83">
        <v>8</v>
      </c>
      <c r="AA78" s="83"/>
      <c r="AB78" s="83"/>
      <c r="AC78" s="83">
        <v>9</v>
      </c>
      <c r="AD78" s="83"/>
      <c r="AE78" s="83"/>
      <c r="AF78" s="83">
        <v>10</v>
      </c>
      <c r="AG78"/>
      <c r="AH78" s="83"/>
      <c r="AJ78" s="84"/>
      <c r="AK78"/>
      <c r="AL78"/>
      <c r="AM78"/>
      <c r="AN78"/>
      <c r="AO78"/>
      <c r="AP78"/>
      <c r="AT78" s="84" t="s">
        <v>87</v>
      </c>
      <c r="AW78" s="85"/>
      <c r="BB78" s="85"/>
      <c r="BE78" s="85"/>
      <c r="BH78" s="85"/>
      <c r="BK78" s="85"/>
      <c r="BN78" s="85"/>
      <c r="BQ78" s="85"/>
      <c r="BT78" s="85"/>
      <c r="BW78" s="85"/>
      <c r="BZ78" s="85"/>
      <c r="CC78" s="85"/>
    </row>
    <row r="79" spans="1:81" s="81" customFormat="1" hidden="1" x14ac:dyDescent="0.25">
      <c r="A79" s="86">
        <v>1</v>
      </c>
      <c r="B79" s="86" t="str">
        <f>E8</f>
        <v>Intense kids power col</v>
      </c>
      <c r="C79" s="86">
        <f>VLOOKUP(B79,AU$3:AY$33,3,FALSE)</f>
        <v>1200</v>
      </c>
      <c r="D79" s="86">
        <f>IF(B72,B87,IF(D72,D87,C79))</f>
        <v>1200</v>
      </c>
      <c r="E79" s="86"/>
      <c r="F79" s="86"/>
      <c r="G79" s="86">
        <f>IF(E72,E87,IF(G72,G87,D79))</f>
        <v>1216</v>
      </c>
      <c r="H79" s="86"/>
      <c r="I79" s="86"/>
      <c r="J79" s="86">
        <f>IF(H72,H87,IF(J72,J87,G79))</f>
        <v>1216</v>
      </c>
      <c r="K79" s="86"/>
      <c r="L79" s="86"/>
      <c r="M79" s="86"/>
      <c r="N79" s="86">
        <f>IF(L72,L87,IF(N72,N87,J79))</f>
        <v>1200</v>
      </c>
      <c r="O79" s="86"/>
      <c r="P79" s="86"/>
      <c r="Q79" s="86">
        <f>IF(O72,O87,IF(Q72,Q87,N79))</f>
        <v>1200</v>
      </c>
      <c r="R79" s="86"/>
      <c r="S79" s="86"/>
      <c r="T79" s="86">
        <f>IF(R72,R87,IF(T72,T87,Q79))</f>
        <v>1214.5304984710244</v>
      </c>
      <c r="U79" s="86"/>
      <c r="V79" s="86"/>
      <c r="W79" s="86">
        <f>IF(U72,U87,IF(W72,W87,T79))</f>
        <v>1214.5304984710244</v>
      </c>
      <c r="X79" s="86"/>
      <c r="Y79" s="86"/>
      <c r="Z79" s="86">
        <f>IF(X72,X87,IF(Z72,Z87,W79))</f>
        <v>1214.5304984710244</v>
      </c>
      <c r="AA79" s="86"/>
      <c r="AB79" s="86"/>
      <c r="AC79" s="86">
        <f>IF(AA72,AA87,IF(AC72,AC87,Z79))</f>
        <v>1214.5304984710244</v>
      </c>
      <c r="AD79" s="86"/>
      <c r="AE79" s="86"/>
      <c r="AF79" s="86">
        <f>IF(AD72,AD87,IF(AF72,AF87,AC79))</f>
        <v>1214.5304984710244</v>
      </c>
      <c r="AG79"/>
      <c r="AH79"/>
      <c r="AK79"/>
      <c r="AL79"/>
      <c r="AM79"/>
      <c r="AN79"/>
      <c r="AO79"/>
      <c r="AP79"/>
      <c r="AT79" s="81" t="str">
        <f>B79</f>
        <v>Intense kids power col</v>
      </c>
      <c r="AU79" s="81">
        <f>AF79</f>
        <v>1214.5304984710244</v>
      </c>
      <c r="AW79" s="85"/>
      <c r="BB79" s="85"/>
      <c r="BE79" s="85"/>
      <c r="BH79" s="85"/>
      <c r="BK79" s="85"/>
      <c r="BN79" s="85"/>
      <c r="BQ79" s="85"/>
      <c r="BT79" s="85"/>
      <c r="BW79" s="85"/>
      <c r="BZ79" s="85"/>
      <c r="CC79" s="85"/>
    </row>
    <row r="80" spans="1:81" s="81" customFormat="1" hidden="1" x14ac:dyDescent="0.25">
      <c r="A80" s="86">
        <v>2</v>
      </c>
      <c r="B80" s="86" t="str">
        <f>E10</f>
        <v>MOTO 12'1</v>
      </c>
      <c r="C80" s="86">
        <f>VLOOKUP(B80,AU$3:AY$33,3,FALSE)</f>
        <v>1200</v>
      </c>
      <c r="D80" s="86">
        <f>IF(B73,B87,IF(D73,D87,C80))</f>
        <v>1184</v>
      </c>
      <c r="E80" s="86"/>
      <c r="F80" s="86"/>
      <c r="G80" s="86">
        <f>IF(E73,E87,IF(G73,G87,D80))</f>
        <v>1184</v>
      </c>
      <c r="H80" s="86"/>
      <c r="I80" s="86"/>
      <c r="J80" s="86">
        <f>IF(H73,H87,IF(J73,J87,G80))</f>
        <v>1168</v>
      </c>
      <c r="K80" s="86"/>
      <c r="L80" s="86"/>
      <c r="M80" s="86"/>
      <c r="N80" s="86">
        <f>IF(L73,L87,IF(N73,N87,J80))</f>
        <v>1168</v>
      </c>
      <c r="O80" s="86"/>
      <c r="P80" s="86"/>
      <c r="Q80" s="86">
        <f>IF(O73,O87,IF(Q73,Q87,N80))</f>
        <v>1168</v>
      </c>
      <c r="R80" s="86"/>
      <c r="S80" s="86"/>
      <c r="T80" s="86">
        <f>IF(R73,R87,IF(T73,T87,Q80))</f>
        <v>1153.4695015289756</v>
      </c>
      <c r="U80" s="86"/>
      <c r="V80" s="86"/>
      <c r="W80" s="86">
        <f>IF(U73,U87,IF(W73,W87,T80))</f>
        <v>1153.4695015289756</v>
      </c>
      <c r="X80" s="86"/>
      <c r="Y80" s="86"/>
      <c r="Z80" s="86">
        <f>IF(X73,X87,IF(Z73,Z87,W80))</f>
        <v>1153.4695015289756</v>
      </c>
      <c r="AA80" s="86"/>
      <c r="AB80" s="86"/>
      <c r="AC80" s="86">
        <f>IF(AA73,AA87,IF(AC73,AC87,Z80))</f>
        <v>1153.4695015289756</v>
      </c>
      <c r="AD80" s="86"/>
      <c r="AE80" s="86"/>
      <c r="AF80" s="86">
        <f>IF(AD73,AD87,IF(AF73,AF87,AC80))</f>
        <v>1153.4695015289756</v>
      </c>
      <c r="AG80"/>
      <c r="AH80"/>
      <c r="AK80"/>
      <c r="AM80"/>
      <c r="AN80"/>
      <c r="AO80"/>
      <c r="AP80"/>
      <c r="AT80" s="81" t="str">
        <f>B80</f>
        <v>MOTO 12'1</v>
      </c>
      <c r="AU80" s="81">
        <f>AF80</f>
        <v>1153.4695015289756</v>
      </c>
      <c r="AW80" s="85"/>
      <c r="BB80" s="85"/>
      <c r="BE80" s="85"/>
      <c r="BH80" s="85"/>
      <c r="BK80" s="85"/>
      <c r="BN80" s="85"/>
      <c r="BQ80" s="85"/>
      <c r="BT80" s="85"/>
      <c r="BW80" s="85"/>
      <c r="BZ80" s="85"/>
      <c r="CC80" s="85"/>
    </row>
    <row r="81" spans="1:81" s="81" customFormat="1" hidden="1" x14ac:dyDescent="0.25">
      <c r="A81" s="86">
        <v>3</v>
      </c>
      <c r="B81" s="86" t="str">
        <f>E12</f>
        <v>C1VB Juniors Royal</v>
      </c>
      <c r="C81" s="86">
        <f>VLOOKUP(B81,AU$3:AY$33,3,FALSE)</f>
        <v>1200</v>
      </c>
      <c r="D81" s="86">
        <f>IF(B74,B87,IF(D74,D87,C81))</f>
        <v>1216</v>
      </c>
      <c r="E81" s="86"/>
      <c r="F81" s="86"/>
      <c r="G81" s="86">
        <f>IF(E74,E87,IF(G74,G87,D81))</f>
        <v>1216</v>
      </c>
      <c r="H81" s="86"/>
      <c r="I81" s="86"/>
      <c r="J81" s="86">
        <f>IF(H74,H87,IF(J74,J87,G81))</f>
        <v>1216</v>
      </c>
      <c r="K81" s="86"/>
      <c r="L81" s="86"/>
      <c r="M81" s="86"/>
      <c r="N81" s="86">
        <f>IF(L74,L87,IF(N74,N87,J81))</f>
        <v>1232</v>
      </c>
      <c r="O81" s="86"/>
      <c r="P81" s="86"/>
      <c r="Q81" s="86">
        <f>IF(O74,O87,IF(Q74,Q87,N81))</f>
        <v>1246.5304984710244</v>
      </c>
      <c r="R81" s="86"/>
      <c r="S81" s="86"/>
      <c r="T81" s="86">
        <f>IF(R74,R87,IF(T74,T87,Q81))</f>
        <v>1246.5304984710244</v>
      </c>
      <c r="U81" s="86"/>
      <c r="V81" s="86"/>
      <c r="W81" s="86">
        <f>IF(U74,U87,IF(W74,W87,T81))</f>
        <v>1246.5304984710244</v>
      </c>
      <c r="X81" s="86"/>
      <c r="Y81" s="86"/>
      <c r="Z81" s="86">
        <f>IF(X74,X87,IF(Z74,Z87,W81))</f>
        <v>1246.5304984710244</v>
      </c>
      <c r="AA81" s="86"/>
      <c r="AB81" s="86"/>
      <c r="AC81" s="86">
        <f>IF(AA74,AA87,IF(AC74,AC87,Z81))</f>
        <v>1246.5304984710244</v>
      </c>
      <c r="AD81" s="86"/>
      <c r="AE81" s="86"/>
      <c r="AF81" s="86">
        <f>IF(AD74,AD87,IF(AF74,AF87,AC81))</f>
        <v>1246.5304984710244</v>
      </c>
      <c r="AG81"/>
      <c r="AH81"/>
      <c r="AK81"/>
      <c r="AM81"/>
      <c r="AN81"/>
      <c r="AO81"/>
      <c r="AP81"/>
      <c r="AT81" s="81" t="str">
        <f>B81</f>
        <v>C1VB Juniors Royal</v>
      </c>
      <c r="AU81" s="81">
        <f>AF81</f>
        <v>1246.5304984710244</v>
      </c>
      <c r="AW81" s="85"/>
      <c r="BB81" s="85"/>
      <c r="BE81" s="85"/>
      <c r="BH81" s="85"/>
      <c r="BK81" s="85"/>
      <c r="BN81" s="85"/>
      <c r="BQ81" s="85"/>
      <c r="BT81" s="85"/>
      <c r="BW81" s="85"/>
      <c r="BZ81" s="85"/>
      <c r="CC81" s="85"/>
    </row>
    <row r="82" spans="1:81" s="81" customFormat="1" hidden="1" x14ac:dyDescent="0.25">
      <c r="A82" s="86">
        <v>4</v>
      </c>
      <c r="B82" s="86" t="str">
        <f>E14</f>
        <v>Foothills Vanessa</v>
      </c>
      <c r="C82" s="86">
        <f>VLOOKUP(B82,AU$3:AY$33,3,FALSE)</f>
        <v>1200</v>
      </c>
      <c r="D82" s="86">
        <f>IF(B75,B87,IF(D75,D87,C82))</f>
        <v>1200</v>
      </c>
      <c r="E82" s="86"/>
      <c r="F82" s="86"/>
      <c r="G82" s="86">
        <f>IF(E75,E87,IF(G75,G87,D82))</f>
        <v>1184</v>
      </c>
      <c r="H82" s="86"/>
      <c r="I82" s="86"/>
      <c r="J82" s="86">
        <f>IF(H75,H87,IF(J75,J87,G82))</f>
        <v>1200</v>
      </c>
      <c r="K82" s="86"/>
      <c r="L82" s="86"/>
      <c r="M82" s="86"/>
      <c r="N82" s="86">
        <f>IF(L75,L87,IF(N75,N87,J82))</f>
        <v>1200</v>
      </c>
      <c r="O82" s="86"/>
      <c r="P82" s="86"/>
      <c r="Q82" s="86">
        <f>IF(O75,O87,IF(Q75,Q87,N82))</f>
        <v>1185.4695015289756</v>
      </c>
      <c r="R82" s="86"/>
      <c r="S82" s="86"/>
      <c r="T82" s="86">
        <f>IF(R75,R87,IF(T75,T87,Q82))</f>
        <v>1185.4695015289756</v>
      </c>
      <c r="U82" s="86"/>
      <c r="V82" s="86"/>
      <c r="W82" s="86">
        <f>IF(U75,U87,IF(W75,W87,T82))</f>
        <v>1185.4695015289756</v>
      </c>
      <c r="X82" s="86"/>
      <c r="Y82" s="86"/>
      <c r="Z82" s="86">
        <f>IF(X75,X87,IF(Z75,Z87,W82))</f>
        <v>1185.4695015289756</v>
      </c>
      <c r="AA82" s="86"/>
      <c r="AB82" s="86"/>
      <c r="AC82" s="86">
        <f>IF(AA75,AA87,IF(AC75,AC87,Z82))</f>
        <v>1185.4695015289756</v>
      </c>
      <c r="AD82" s="86"/>
      <c r="AE82" s="86"/>
      <c r="AF82" s="86">
        <f>IF(AD75,AD87,IF(AF75,AF87,AC82))</f>
        <v>1185.4695015289756</v>
      </c>
      <c r="AG82"/>
      <c r="AH82"/>
      <c r="AK82"/>
      <c r="AM82"/>
      <c r="AN82"/>
      <c r="AO82"/>
      <c r="AP82"/>
      <c r="AT82" s="81" t="str">
        <f>B82</f>
        <v>Foothills Vanessa</v>
      </c>
      <c r="AU82" s="81">
        <f>AF82</f>
        <v>1185.4695015289756</v>
      </c>
      <c r="AW82" s="85"/>
      <c r="BB82" s="85"/>
      <c r="BE82" s="85"/>
      <c r="BH82" s="85"/>
      <c r="BK82" s="85"/>
      <c r="BN82" s="85"/>
      <c r="BQ82" s="85"/>
      <c r="BT82" s="85"/>
      <c r="BW82" s="85"/>
      <c r="BZ82" s="85"/>
      <c r="CC82" s="85"/>
    </row>
    <row r="83" spans="1:81" s="81" customFormat="1" hidden="1" x14ac:dyDescent="0.25">
      <c r="A83" s="86">
        <v>5</v>
      </c>
      <c r="B83" s="86">
        <f>E16</f>
        <v>0</v>
      </c>
      <c r="C83" s="86" t="e">
        <f>VLOOKUP(B83,AU$3:AY$33,3,FALSE)</f>
        <v>#N/A</v>
      </c>
      <c r="D83" s="86" t="e">
        <f>IF(B76,B87,IF(D76,D87,C83))</f>
        <v>#N/A</v>
      </c>
      <c r="E83" s="86"/>
      <c r="F83" s="86"/>
      <c r="G83" s="86" t="e">
        <f>IF(E76,E87,IF(G76,G87,D83))</f>
        <v>#N/A</v>
      </c>
      <c r="H83" s="86"/>
      <c r="I83" s="86"/>
      <c r="J83" s="86" t="e">
        <f>IF(H76,H87,IF(J76,J87,G83))</f>
        <v>#N/A</v>
      </c>
      <c r="K83" s="86"/>
      <c r="L83" s="86"/>
      <c r="M83" s="86"/>
      <c r="N83" s="86" t="e">
        <f>IF(L76,L87,IF(N76,N87,J83))</f>
        <v>#N/A</v>
      </c>
      <c r="O83" s="86"/>
      <c r="P83" s="86"/>
      <c r="Q83" s="86" t="e">
        <f>IF(O76,O87,IF(Q76,Q87,N83))</f>
        <v>#N/A</v>
      </c>
      <c r="R83" s="86"/>
      <c r="S83" s="86"/>
      <c r="T83" s="86" t="e">
        <f>IF(R76,R87,IF(T76,T87,Q83))</f>
        <v>#N/A</v>
      </c>
      <c r="U83" s="86"/>
      <c r="V83" s="86"/>
      <c r="W83" s="86" t="e">
        <f>IF(U76,U87,IF(W76,W87,T83))</f>
        <v>#N/A</v>
      </c>
      <c r="X83" s="86"/>
      <c r="Y83" s="86"/>
      <c r="Z83" s="86" t="e">
        <f>IF(X76,X87,IF(Z76,Z87,W83))</f>
        <v>#N/A</v>
      </c>
      <c r="AA83" s="86"/>
      <c r="AB83" s="86"/>
      <c r="AC83" s="86" t="e">
        <f>IF(AA76,AA87,IF(AC76,AC87,Z83))</f>
        <v>#N/A</v>
      </c>
      <c r="AD83" s="86"/>
      <c r="AE83" s="86"/>
      <c r="AF83" s="86" t="e">
        <f>IF(AD76,AD87,IF(AF76,AF87,AC83))</f>
        <v>#N/A</v>
      </c>
      <c r="AG83"/>
      <c r="AH83"/>
      <c r="AK83"/>
      <c r="AM83"/>
      <c r="AN83"/>
      <c r="AO83"/>
      <c r="AP83"/>
      <c r="AT83" s="81">
        <f>B83</f>
        <v>0</v>
      </c>
      <c r="AU83" s="81" t="e">
        <f>AF83</f>
        <v>#N/A</v>
      </c>
      <c r="AW83" s="85"/>
      <c r="BB83" s="85"/>
      <c r="BE83" s="85"/>
      <c r="BH83" s="85"/>
      <c r="BK83" s="85"/>
      <c r="BN83" s="85"/>
      <c r="BQ83" s="85"/>
      <c r="BT83" s="85"/>
      <c r="BW83" s="85"/>
      <c r="BZ83" s="85"/>
      <c r="CC83" s="85"/>
    </row>
    <row r="84" spans="1:81" s="81" customFormat="1" hidden="1" x14ac:dyDescent="0.25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/>
      <c r="AH84"/>
      <c r="AK84"/>
      <c r="AM84"/>
      <c r="AN84"/>
      <c r="AO84"/>
      <c r="AP84"/>
      <c r="AW84" s="85"/>
      <c r="BB84" s="85"/>
      <c r="BE84" s="85"/>
      <c r="BH84" s="85"/>
      <c r="BK84" s="85"/>
      <c r="BN84" s="85"/>
      <c r="BQ84" s="85"/>
      <c r="BT84" s="85"/>
      <c r="BW84" s="85"/>
      <c r="BZ84" s="85"/>
      <c r="CC84" s="85"/>
    </row>
    <row r="85" spans="1:81" s="81" customFormat="1" hidden="1" x14ac:dyDescent="0.25">
      <c r="A85" s="86" t="s">
        <v>88</v>
      </c>
      <c r="B85" s="86">
        <f>VLOOKUP(B24,$A79:$AF83,3,FALSE)</f>
        <v>1200</v>
      </c>
      <c r="C85" s="86">
        <v>1</v>
      </c>
      <c r="D85" s="86">
        <f>VLOOKUP(D24,$A79:$AF83,3,FALSE)</f>
        <v>1200</v>
      </c>
      <c r="E85" s="86">
        <f>VLOOKUP(E24,$A79:$AF83,4,FALSE)</f>
        <v>1200</v>
      </c>
      <c r="F85" s="86">
        <v>2</v>
      </c>
      <c r="G85" s="86">
        <f>VLOOKUP(G24,$A79:$AF83,4,FALSE)</f>
        <v>1200</v>
      </c>
      <c r="H85" s="86">
        <f>VLOOKUP(H24,$A79:$AF83,7,FALSE)</f>
        <v>1184</v>
      </c>
      <c r="I85" s="86">
        <v>3</v>
      </c>
      <c r="J85" s="86">
        <f>VLOOKUP(J24,$A79:$AF83,7,FALSE)</f>
        <v>1184</v>
      </c>
      <c r="K85" s="86"/>
      <c r="L85" s="86">
        <f>VLOOKUP(L24,$A79:$AF83,10,FALSE)</f>
        <v>1216</v>
      </c>
      <c r="M85" s="86">
        <v>4</v>
      </c>
      <c r="N85" s="86">
        <f>VLOOKUP(N24,$A79:$AF83,10,FALSE)</f>
        <v>1216</v>
      </c>
      <c r="O85" s="86">
        <f>VLOOKUP(O24,$A79:$AF83,14,FALSE)</f>
        <v>1232</v>
      </c>
      <c r="P85" s="86">
        <v>5</v>
      </c>
      <c r="Q85" s="86">
        <f>VLOOKUP(Q24,$A79:$AF83,14,FALSE)</f>
        <v>1200</v>
      </c>
      <c r="R85" s="86">
        <f>VLOOKUP(R24,$A79:$AF83,17,FALSE)</f>
        <v>1200</v>
      </c>
      <c r="S85" s="86">
        <v>6</v>
      </c>
      <c r="T85" s="86">
        <f>VLOOKUP(T24,$A79:$AF83,17,FALSE)</f>
        <v>1168</v>
      </c>
      <c r="U85" s="86" t="e">
        <f>VLOOKUP(U24,$A79:$AF83,20,FALSE)</f>
        <v>#N/A</v>
      </c>
      <c r="V85" s="86">
        <v>7</v>
      </c>
      <c r="W85" s="86" t="e">
        <f>VLOOKUP(W24,$A79:$AF83,20,FALSE)</f>
        <v>#N/A</v>
      </c>
      <c r="X85" s="86" t="e">
        <f>VLOOKUP(X24,$A79:$AF83,23,FALSE)</f>
        <v>#N/A</v>
      </c>
      <c r="Y85" s="86">
        <v>8</v>
      </c>
      <c r="Z85" s="86" t="e">
        <f>VLOOKUP(Z24,$A79:$AF83,23,FALSE)</f>
        <v>#N/A</v>
      </c>
      <c r="AA85" s="86" t="e">
        <f>VLOOKUP(AA24,$A79:$AF83,26,FALSE)</f>
        <v>#N/A</v>
      </c>
      <c r="AB85" s="86">
        <v>9</v>
      </c>
      <c r="AC85" s="86" t="e">
        <f>VLOOKUP(AC24,$A79:$AF83,26,FALSE)</f>
        <v>#N/A</v>
      </c>
      <c r="AD85" s="86" t="e">
        <f>VLOOKUP(AD24,$A79:$AF83,29,FALSE)</f>
        <v>#N/A</v>
      </c>
      <c r="AE85" s="86">
        <v>10</v>
      </c>
      <c r="AF85" s="86" t="e">
        <f>VLOOKUP(AF24,$A79:$AF83,29,FALSE)</f>
        <v>#N/A</v>
      </c>
      <c r="AG85"/>
      <c r="AH85" s="79"/>
      <c r="AI85" s="79"/>
      <c r="AJ85" s="79"/>
      <c r="AK85" s="79"/>
      <c r="AL85" s="79"/>
      <c r="AM85" s="79"/>
      <c r="AN85" s="79"/>
      <c r="AO85" s="80"/>
      <c r="AP85" s="80"/>
      <c r="AQ85" s="80"/>
      <c r="AR85" s="80"/>
      <c r="AW85" s="85"/>
      <c r="BB85" s="85"/>
      <c r="BE85" s="85"/>
      <c r="BH85" s="85"/>
      <c r="BK85" s="85"/>
      <c r="BN85" s="85"/>
      <c r="BQ85" s="85"/>
      <c r="BT85" s="85"/>
      <c r="BW85" s="85"/>
      <c r="BZ85" s="85"/>
      <c r="CC85" s="85"/>
    </row>
    <row r="86" spans="1:81" s="91" customFormat="1" hidden="1" x14ac:dyDescent="0.25">
      <c r="A86" s="87" t="s">
        <v>89</v>
      </c>
      <c r="B86" s="87">
        <f>1/(1+(10^-((B85-D85)/400)))*(B36+D36)</f>
        <v>0.5</v>
      </c>
      <c r="C86" s="87"/>
      <c r="D86" s="87">
        <f>1/(1+(10^-((D85-B85)/400)))*(B36+D36)</f>
        <v>0.5</v>
      </c>
      <c r="E86" s="87">
        <f>1/(1+(10^-((E85-G85)/400)))*(E36+G36)</f>
        <v>0.5</v>
      </c>
      <c r="F86" s="87"/>
      <c r="G86" s="87">
        <f>1/(1+(10^-((G85-E85)/400)))*(E36+G36)</f>
        <v>0.5</v>
      </c>
      <c r="H86" s="87">
        <f>1/(1+(10^-((H85-J85)/400)))*(H36+J36)</f>
        <v>0.5</v>
      </c>
      <c r="I86" s="87"/>
      <c r="J86" s="87">
        <f>1/(1+(10^-((J85-H85)/400)))*(H36+J36)</f>
        <v>0.5</v>
      </c>
      <c r="K86" s="87"/>
      <c r="L86" s="87">
        <f>1/(1+(10^-((L85-N85)/400)))*(L36+N36)</f>
        <v>0.5</v>
      </c>
      <c r="M86" s="87"/>
      <c r="N86" s="87">
        <f>1/(1+(10^-((N85-L85)/400)))*(L36+N36)</f>
        <v>0.5</v>
      </c>
      <c r="O86" s="87">
        <f>1/(1+(10^-((O85-Q85)/400)))*(O36+Q36)</f>
        <v>0.54592192278048368</v>
      </c>
      <c r="P86" s="87"/>
      <c r="Q86" s="87">
        <f>1/(1+(10^-((Q85-O85)/400)))*(O36+Q36)</f>
        <v>0.45407807721951632</v>
      </c>
      <c r="R86" s="87">
        <f>1/(1+(10^-((R85-T85)/400)))*(R36+T36)</f>
        <v>0.54592192278048368</v>
      </c>
      <c r="S86" s="87"/>
      <c r="T86" s="87">
        <f>1/(1+(10^-((T85-R85)/400)))*(R36+T36)</f>
        <v>0.45407807721951632</v>
      </c>
      <c r="U86" s="87" t="e">
        <f>1/(1+(10^-((U85-W85)/400)))*(U36+W36)</f>
        <v>#N/A</v>
      </c>
      <c r="V86" s="87"/>
      <c r="W86" s="87" t="e">
        <f>1/(1+(10^-((W85-U85)/400)))*(U36+W36)</f>
        <v>#N/A</v>
      </c>
      <c r="X86" s="87" t="e">
        <f>1/(1+(10^-((X85-Z85)/400)))*(X36+Z36)</f>
        <v>#N/A</v>
      </c>
      <c r="Y86" s="87"/>
      <c r="Z86" s="87" t="e">
        <f>1/(1+(10^-((Z85-X85)/400)))*(X36+Z36)</f>
        <v>#N/A</v>
      </c>
      <c r="AA86" s="87" t="e">
        <f>1/(1+(10^-((AA85-AC85)/400)))*(AA36+AC36)</f>
        <v>#N/A</v>
      </c>
      <c r="AB86" s="87"/>
      <c r="AC86" s="87" t="e">
        <f>1/(1+(10^-((AC85-AA85)/400)))*(AA36+AC36)</f>
        <v>#N/A</v>
      </c>
      <c r="AD86" s="87" t="e">
        <f>1/(1+(10^-((AD85-AF85)/400)))*(AD36+AF36)</f>
        <v>#N/A</v>
      </c>
      <c r="AE86" s="87"/>
      <c r="AF86" s="87" t="e">
        <f>1/(1+(10^-((AF85-AD85)/400)))*(AD36+AF36)</f>
        <v>#N/A</v>
      </c>
      <c r="AG86" s="88"/>
      <c r="AH86" s="89"/>
      <c r="AI86" s="89"/>
      <c r="AJ86" s="89"/>
      <c r="AK86" s="89"/>
      <c r="AL86" s="89"/>
      <c r="AM86" s="89"/>
      <c r="AN86" s="89"/>
      <c r="AO86" s="90"/>
      <c r="AP86" s="90"/>
      <c r="AQ86" s="90"/>
      <c r="AR86" s="90"/>
      <c r="AW86" s="92"/>
      <c r="BB86" s="92"/>
      <c r="BE86" s="92"/>
      <c r="BH86" s="92"/>
      <c r="BK86" s="92"/>
      <c r="BN86" s="92"/>
      <c r="BQ86" s="92"/>
      <c r="BT86" s="92"/>
      <c r="BW86" s="92"/>
      <c r="BZ86" s="92"/>
      <c r="CC86" s="92"/>
    </row>
    <row r="87" spans="1:81" s="97" customFormat="1" hidden="1" x14ac:dyDescent="0.25">
      <c r="A87" s="93" t="s">
        <v>90</v>
      </c>
      <c r="B87" s="93">
        <f>B85+(B36-B86)*$BA$1</f>
        <v>1184</v>
      </c>
      <c r="C87" s="93"/>
      <c r="D87" s="93">
        <f>D85+(D36-D86)*$BA$1</f>
        <v>1216</v>
      </c>
      <c r="E87" s="93">
        <f>E85+(E36-E86)*$BA$1</f>
        <v>1216</v>
      </c>
      <c r="F87" s="93"/>
      <c r="G87" s="93">
        <f>G85+(G36-G86)*$BA$1</f>
        <v>1184</v>
      </c>
      <c r="H87" s="93">
        <f>H85+(H36-H86)*$BA$1</f>
        <v>1168</v>
      </c>
      <c r="I87" s="93"/>
      <c r="J87" s="93">
        <f>J85+(J36-J86)*$BA$1</f>
        <v>1200</v>
      </c>
      <c r="K87" s="93"/>
      <c r="L87" s="93">
        <f>L85+(L36-L86)*$BA$1</f>
        <v>1200</v>
      </c>
      <c r="M87" s="93"/>
      <c r="N87" s="93">
        <f>N85+(N36-N86)*$BA$1</f>
        <v>1232</v>
      </c>
      <c r="O87" s="93">
        <f>O85+(O36-O86)*$BA$1</f>
        <v>1246.5304984710244</v>
      </c>
      <c r="P87" s="93"/>
      <c r="Q87" s="93">
        <f>Q85+(Q36-Q86)*$BA$1</f>
        <v>1185.4695015289756</v>
      </c>
      <c r="R87" s="93">
        <f>R85+(R36-R86)*$BA$1</f>
        <v>1214.5304984710244</v>
      </c>
      <c r="S87" s="93"/>
      <c r="T87" s="93">
        <f>T85+(T36-T86)*$BA$1</f>
        <v>1153.4695015289756</v>
      </c>
      <c r="U87" s="93" t="e">
        <f>U85+(U36-U86)*$BA$1</f>
        <v>#N/A</v>
      </c>
      <c r="V87" s="93"/>
      <c r="W87" s="93" t="e">
        <f>W85+(W36-W86)*$BA$1</f>
        <v>#N/A</v>
      </c>
      <c r="X87" s="93" t="e">
        <f>X85+(X36-X86)*$BA$1</f>
        <v>#N/A</v>
      </c>
      <c r="Y87" s="93"/>
      <c r="Z87" s="93" t="e">
        <f>Z85+(Z36-Z86)*$BA$1</f>
        <v>#N/A</v>
      </c>
      <c r="AA87" s="93" t="e">
        <f>AA85+(AA36-AA86)*$BA$1</f>
        <v>#N/A</v>
      </c>
      <c r="AB87" s="93"/>
      <c r="AC87" s="93" t="e">
        <f>AC85+(AC36-AC86)*$BA$1</f>
        <v>#N/A</v>
      </c>
      <c r="AD87" s="93" t="e">
        <f>AD85+(AD36-AD86)*$BA$1</f>
        <v>#N/A</v>
      </c>
      <c r="AE87" s="93"/>
      <c r="AF87" s="93" t="e">
        <f>AF85+(AF36-AF86)*$BA$1</f>
        <v>#N/A</v>
      </c>
      <c r="AG87" s="94"/>
      <c r="AH87" s="95"/>
      <c r="AI87" s="95"/>
      <c r="AJ87" s="95"/>
      <c r="AK87" s="95"/>
      <c r="AL87" s="95"/>
      <c r="AM87" s="95"/>
      <c r="AN87" s="95"/>
      <c r="AO87" s="96"/>
      <c r="AP87" s="96"/>
      <c r="AQ87" s="96"/>
      <c r="AR87" s="96"/>
      <c r="AW87" s="98"/>
      <c r="BB87" s="98"/>
      <c r="BE87" s="98"/>
      <c r="BH87" s="98"/>
      <c r="BK87" s="98"/>
      <c r="BN87" s="98"/>
      <c r="BQ87" s="98"/>
      <c r="BT87" s="98"/>
      <c r="BW87" s="98"/>
      <c r="BZ87" s="98"/>
      <c r="CC87" s="98"/>
    </row>
    <row r="88" spans="1:81" s="97" customFormat="1" hidden="1" x14ac:dyDescent="0.2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4"/>
      <c r="AH88" s="95"/>
      <c r="AI88" s="95"/>
      <c r="AJ88" s="95"/>
      <c r="AK88" s="95"/>
      <c r="AL88" s="95"/>
      <c r="AM88" s="95"/>
      <c r="AN88" s="95"/>
      <c r="AO88" s="96"/>
      <c r="AP88" s="96"/>
      <c r="AQ88" s="96"/>
      <c r="AR88" s="96"/>
      <c r="AW88" s="98"/>
      <c r="BB88" s="98"/>
      <c r="BE88" s="98"/>
      <c r="BH88" s="98"/>
      <c r="BK88" s="98"/>
      <c r="BN88" s="98"/>
      <c r="BQ88" s="98"/>
      <c r="BT88" s="98"/>
      <c r="BW88" s="98"/>
      <c r="BZ88" s="98"/>
      <c r="CC88" s="98"/>
    </row>
    <row r="89" spans="1:81" s="81" customFormat="1" x14ac:dyDescent="0.25">
      <c r="A89" s="308" t="str">
        <f>IF($AL10=1,"Pool Tiereaker : 1) Matches Won vs Lost (if 3 way tie then #4)  2) Head to Head  3) Game Win %  4) Total Pool Net Points  5) Flip a Coin","Pool Tiebreaker : 1) Games Won vs Lost (if 3 way tie then #5)  2) Head to Head  3) Head to Head Net Points  4) Game Win %  5) Total Pool Net Points  6) Flip a Coin")</f>
        <v>Pool Tiereaker : 1) Matches Won vs Lost (if 3 way tie then #4)  2) Head to Head  3) Game Win %  4) Total Pool Net Points  5) Flip a Coin</v>
      </c>
      <c r="B89" s="308"/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9"/>
      <c r="AO89" s="309"/>
      <c r="AP89" s="309"/>
      <c r="AQ89" s="309"/>
    </row>
    <row r="90" spans="1:81" s="81" customFormat="1" ht="13.8" thickBot="1" x14ac:dyDescent="0.3">
      <c r="A90" s="310"/>
      <c r="B90" s="310"/>
      <c r="C90" s="310"/>
      <c r="D90" s="310"/>
      <c r="E90" s="310"/>
      <c r="F90" s="310"/>
      <c r="G90" s="310"/>
      <c r="H90" s="310"/>
      <c r="I90" s="310"/>
      <c r="J90" s="310"/>
      <c r="K90" s="310"/>
      <c r="L90" s="310"/>
      <c r="M90" s="310"/>
      <c r="N90" s="310"/>
      <c r="O90" s="310"/>
      <c r="P90" s="310"/>
      <c r="Q90" s="310"/>
      <c r="R90" s="310"/>
      <c r="S90" s="310"/>
      <c r="T90" s="310"/>
      <c r="U90" s="310"/>
      <c r="V90" s="310"/>
      <c r="W90" s="310"/>
      <c r="X90" s="310"/>
      <c r="Y90" s="310"/>
      <c r="Z90" s="310"/>
      <c r="AA90" s="310"/>
      <c r="AB90" s="310"/>
      <c r="AC90" s="310"/>
      <c r="AD90" s="310"/>
      <c r="AE90" s="310"/>
      <c r="AF90" s="310"/>
      <c r="AG90" s="310"/>
      <c r="AH90" s="310"/>
      <c r="AI90" s="310"/>
      <c r="AJ90" s="310"/>
      <c r="AK90" s="310"/>
      <c r="AL90" s="310"/>
      <c r="AM90" s="310"/>
      <c r="AN90" s="310"/>
      <c r="AO90" s="310"/>
      <c r="AP90" s="310"/>
      <c r="AQ90" s="310"/>
      <c r="AR90" s="310"/>
    </row>
    <row r="91" spans="1:81" ht="24" customHeight="1" thickBot="1" x14ac:dyDescent="0.3">
      <c r="A91" s="33" t="s">
        <v>22</v>
      </c>
      <c r="B91" s="34" t="s">
        <v>91</v>
      </c>
      <c r="C91" s="211" t="s">
        <v>24</v>
      </c>
      <c r="D91" s="212"/>
      <c r="E91" s="212"/>
      <c r="F91" s="212"/>
      <c r="G91" s="212"/>
      <c r="H91" s="213"/>
      <c r="I91" s="214">
        <v>2</v>
      </c>
      <c r="J91" s="215"/>
      <c r="K91" s="216" t="str">
        <f>"Pool "&amp;B91&amp;" - Round 1 - Court "&amp;I91</f>
        <v>Pool B - Round 1 - Court 2</v>
      </c>
      <c r="L91" s="217"/>
      <c r="M91" s="217"/>
      <c r="N91" s="217"/>
      <c r="O91" s="217"/>
      <c r="P91" s="217"/>
      <c r="Q91" s="217"/>
      <c r="R91" s="217"/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17"/>
      <c r="AG91" s="217"/>
      <c r="AH91" s="217"/>
      <c r="AI91" s="217"/>
      <c r="AJ91" s="218"/>
      <c r="AK91" s="11"/>
      <c r="AL91" s="11"/>
      <c r="AM91" s="11"/>
      <c r="AN91" s="11"/>
      <c r="AO91" s="11"/>
      <c r="AP91" s="11"/>
      <c r="AQ91" s="11"/>
      <c r="AR91" s="11"/>
    </row>
    <row r="92" spans="1:81" ht="27" customHeight="1" thickBot="1" x14ac:dyDescent="0.3">
      <c r="A92" s="35" t="s">
        <v>25</v>
      </c>
      <c r="B92" s="183" t="s">
        <v>8</v>
      </c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183" t="str">
        <f>IF($AL95=0,"Games Won","Matches Won")</f>
        <v>Matches Won</v>
      </c>
      <c r="N92" s="219"/>
      <c r="O92" s="219"/>
      <c r="P92" s="219"/>
      <c r="Q92" s="219"/>
      <c r="R92" s="220"/>
      <c r="S92" s="183" t="str">
        <f>IF($AL95=0,"Games Lost","Matches Lost")</f>
        <v>Matches Lost</v>
      </c>
      <c r="T92" s="221"/>
      <c r="U92" s="221"/>
      <c r="V92" s="221"/>
      <c r="W92" s="222"/>
      <c r="X92" s="223" t="s">
        <v>26</v>
      </c>
      <c r="Y92" s="224"/>
      <c r="Z92" s="225"/>
      <c r="AA92" s="223" t="s">
        <v>27</v>
      </c>
      <c r="AB92" s="224"/>
      <c r="AC92" s="225"/>
      <c r="AD92" s="226" t="s">
        <v>28</v>
      </c>
      <c r="AE92" s="227"/>
      <c r="AF92" s="228"/>
      <c r="AG92" s="36" t="s">
        <v>29</v>
      </c>
      <c r="AH92" s="37" t="s">
        <v>7</v>
      </c>
      <c r="AI92" s="229" t="s">
        <v>30</v>
      </c>
      <c r="AJ92" s="230"/>
      <c r="AK92" s="38"/>
      <c r="AL92" s="39">
        <v>1</v>
      </c>
      <c r="AM92" s="40" t="s">
        <v>31</v>
      </c>
      <c r="AN92" s="40"/>
      <c r="AO92" s="40"/>
      <c r="AP92" s="40"/>
      <c r="AQ92" s="40"/>
      <c r="AR92" s="40"/>
      <c r="AS92" s="41"/>
    </row>
    <row r="93" spans="1:81" ht="18.75" customHeight="1" x14ac:dyDescent="0.25">
      <c r="A93" s="231" t="str">
        <f>IF($AL94&gt;0,"1","")</f>
        <v>1</v>
      </c>
      <c r="B93" s="233" t="s">
        <v>8</v>
      </c>
      <c r="C93" s="234"/>
      <c r="D93" s="235"/>
      <c r="E93" s="236" t="str">
        <f>AU4</f>
        <v>SC Midlands KP White</v>
      </c>
      <c r="F93" s="237"/>
      <c r="G93" s="237"/>
      <c r="H93" s="237"/>
      <c r="I93" s="237"/>
      <c r="J93" s="237"/>
      <c r="K93" s="237"/>
      <c r="L93" s="238"/>
      <c r="M93" s="239">
        <f>IF($AL95=0,AG149,AG131)</f>
        <v>2</v>
      </c>
      <c r="N93" s="240"/>
      <c r="O93" s="240"/>
      <c r="P93" s="240"/>
      <c r="Q93" s="240"/>
      <c r="R93" s="220"/>
      <c r="S93" s="239">
        <f>IF($AL95=0,AH149,AH131)</f>
        <v>2</v>
      </c>
      <c r="T93" s="240"/>
      <c r="U93" s="240"/>
      <c r="V93" s="240"/>
      <c r="W93" s="240"/>
      <c r="X93" s="239">
        <f>AR109</f>
        <v>2</v>
      </c>
      <c r="Y93" s="240"/>
      <c r="Z93" s="240"/>
      <c r="AA93" s="243">
        <f>IF(AG143&gt;0,(AR109/AG143),0)</f>
        <v>2.1505376344086023E-2</v>
      </c>
      <c r="AB93" s="244"/>
      <c r="AC93" s="244"/>
      <c r="AD93" s="247">
        <f>IF(AG157=0,0,(AG149/AG157))</f>
        <v>0.5</v>
      </c>
      <c r="AE93" s="248"/>
      <c r="AF93" s="249"/>
      <c r="AG93" s="253">
        <v>2</v>
      </c>
      <c r="AH93" s="253">
        <v>1</v>
      </c>
      <c r="AI93" s="255"/>
      <c r="AJ93" s="256"/>
      <c r="AK93" s="38"/>
      <c r="AL93" s="39">
        <v>6</v>
      </c>
      <c r="AM93" s="40" t="s">
        <v>32</v>
      </c>
      <c r="AN93" s="40"/>
      <c r="AO93" s="40"/>
      <c r="AP93" s="40"/>
      <c r="AQ93" s="40"/>
      <c r="AR93" s="40"/>
      <c r="AS93" s="41"/>
    </row>
    <row r="94" spans="1:81" ht="18.75" customHeight="1" thickBot="1" x14ac:dyDescent="0.3">
      <c r="A94" s="232"/>
      <c r="B94" s="263" t="s">
        <v>9</v>
      </c>
      <c r="C94" s="264"/>
      <c r="D94" s="265"/>
      <c r="E94" s="261" t="str">
        <f>AV4</f>
        <v>fj2scmid2pm</v>
      </c>
      <c r="F94" s="262"/>
      <c r="G94" s="262"/>
      <c r="H94" s="262"/>
      <c r="I94" s="262"/>
      <c r="J94" s="262"/>
      <c r="K94" s="262"/>
      <c r="L94" s="262"/>
      <c r="M94" s="241"/>
      <c r="N94" s="242"/>
      <c r="O94" s="242"/>
      <c r="P94" s="242"/>
      <c r="Q94" s="242"/>
      <c r="R94" s="220"/>
      <c r="S94" s="241"/>
      <c r="T94" s="242"/>
      <c r="U94" s="242"/>
      <c r="V94" s="242"/>
      <c r="W94" s="242"/>
      <c r="X94" s="241"/>
      <c r="Y94" s="242"/>
      <c r="Z94" s="242"/>
      <c r="AA94" s="245"/>
      <c r="AB94" s="246"/>
      <c r="AC94" s="246"/>
      <c r="AD94" s="250"/>
      <c r="AE94" s="251"/>
      <c r="AF94" s="252"/>
      <c r="AG94" s="254"/>
      <c r="AH94" s="254"/>
      <c r="AI94" s="257"/>
      <c r="AJ94" s="258"/>
      <c r="AK94" s="38"/>
      <c r="AL94" s="39">
        <v>3</v>
      </c>
      <c r="AM94" s="40" t="s">
        <v>33</v>
      </c>
      <c r="AN94" s="38"/>
      <c r="AO94" s="38"/>
      <c r="AP94" s="38"/>
      <c r="AQ94" s="38"/>
      <c r="AR94" s="38"/>
      <c r="AS94" s="3"/>
    </row>
    <row r="95" spans="1:81" ht="18.75" customHeight="1" x14ac:dyDescent="0.25">
      <c r="A95" s="231" t="str">
        <f>IF($AL94&gt;1,"2","")</f>
        <v>2</v>
      </c>
      <c r="B95" s="233" t="s">
        <v>8</v>
      </c>
      <c r="C95" s="234"/>
      <c r="D95" s="235"/>
      <c r="E95" s="236" t="str">
        <f>AU5</f>
        <v>SC Midlands KP Boys</v>
      </c>
      <c r="F95" s="237"/>
      <c r="G95" s="237"/>
      <c r="H95" s="237"/>
      <c r="I95" s="237"/>
      <c r="J95" s="237"/>
      <c r="K95" s="237"/>
      <c r="L95" s="238"/>
      <c r="M95" s="239">
        <f>IF($AL95=0,AG150,AG132)</f>
        <v>4</v>
      </c>
      <c r="N95" s="240"/>
      <c r="O95" s="240"/>
      <c r="P95" s="240"/>
      <c r="Q95" s="240"/>
      <c r="R95" s="220"/>
      <c r="S95" s="239">
        <f>IF($AL95=0,AH150,AH132)</f>
        <v>0</v>
      </c>
      <c r="T95" s="240"/>
      <c r="U95" s="240"/>
      <c r="V95" s="240"/>
      <c r="W95" s="240"/>
      <c r="X95" s="239">
        <f>AR110</f>
        <v>37</v>
      </c>
      <c r="Y95" s="240"/>
      <c r="Z95" s="240"/>
      <c r="AA95" s="243">
        <f>IF(AG144&gt;0,(AR110/AG144),0)</f>
        <v>0.40217391304347827</v>
      </c>
      <c r="AB95" s="244"/>
      <c r="AC95" s="244"/>
      <c r="AD95" s="247">
        <f>IF(AG158=0,0,(AG150/AG158))</f>
        <v>1</v>
      </c>
      <c r="AE95" s="248"/>
      <c r="AF95" s="249"/>
      <c r="AG95" s="253">
        <v>1</v>
      </c>
      <c r="AH95" s="253">
        <v>1</v>
      </c>
      <c r="AI95" s="255"/>
      <c r="AJ95" s="256"/>
      <c r="AK95" s="38"/>
      <c r="AL95" s="39">
        <v>1</v>
      </c>
      <c r="AM95" s="40" t="s">
        <v>34</v>
      </c>
      <c r="AN95" s="40"/>
      <c r="AO95" s="40"/>
      <c r="AP95" s="40"/>
      <c r="AQ95" s="40"/>
      <c r="AR95" s="40"/>
      <c r="AS95" s="41"/>
    </row>
    <row r="96" spans="1:81" ht="18.75" customHeight="1" thickBot="1" x14ac:dyDescent="0.3">
      <c r="A96" s="232"/>
      <c r="B96" s="259" t="s">
        <v>9</v>
      </c>
      <c r="C96" s="260"/>
      <c r="D96" s="260"/>
      <c r="E96" s="261" t="str">
        <f>AV5</f>
        <v>fj2scmid3pm</v>
      </c>
      <c r="F96" s="262"/>
      <c r="G96" s="262"/>
      <c r="H96" s="262"/>
      <c r="I96" s="262"/>
      <c r="J96" s="262"/>
      <c r="K96" s="262"/>
      <c r="L96" s="262"/>
      <c r="M96" s="241"/>
      <c r="N96" s="242"/>
      <c r="O96" s="242"/>
      <c r="P96" s="242"/>
      <c r="Q96" s="242"/>
      <c r="R96" s="220"/>
      <c r="S96" s="241"/>
      <c r="T96" s="242"/>
      <c r="U96" s="242"/>
      <c r="V96" s="242"/>
      <c r="W96" s="242"/>
      <c r="X96" s="241"/>
      <c r="Y96" s="242"/>
      <c r="Z96" s="242"/>
      <c r="AA96" s="245"/>
      <c r="AB96" s="246"/>
      <c r="AC96" s="246"/>
      <c r="AD96" s="250"/>
      <c r="AE96" s="251"/>
      <c r="AF96" s="252"/>
      <c r="AG96" s="254"/>
      <c r="AH96" s="254"/>
      <c r="AI96" s="257"/>
      <c r="AJ96" s="258"/>
      <c r="AK96" s="38"/>
      <c r="AL96" s="39">
        <v>1</v>
      </c>
      <c r="AM96" s="40" t="s">
        <v>35</v>
      </c>
      <c r="AN96" s="38"/>
      <c r="AO96" s="38"/>
      <c r="AP96" s="38"/>
      <c r="AQ96" s="38"/>
      <c r="AR96" s="38"/>
      <c r="AS96" s="3"/>
    </row>
    <row r="97" spans="1:45" ht="18.75" customHeight="1" x14ac:dyDescent="0.25">
      <c r="A97" s="231" t="str">
        <f>IF($AL94&gt;2,"3","")</f>
        <v>3</v>
      </c>
      <c r="B97" s="266" t="s">
        <v>8</v>
      </c>
      <c r="C97" s="267"/>
      <c r="D97" s="267"/>
      <c r="E97" s="236" t="str">
        <f>AU8</f>
        <v>C1VB Juniors Grey</v>
      </c>
      <c r="F97" s="237"/>
      <c r="G97" s="237"/>
      <c r="H97" s="237"/>
      <c r="I97" s="237"/>
      <c r="J97" s="237"/>
      <c r="K97" s="237"/>
      <c r="L97" s="238"/>
      <c r="M97" s="239">
        <f>IF($AL95=0,AG151,AG133)</f>
        <v>0</v>
      </c>
      <c r="N97" s="240"/>
      <c r="O97" s="240"/>
      <c r="P97" s="240"/>
      <c r="Q97" s="240"/>
      <c r="R97" s="220"/>
      <c r="S97" s="239">
        <f>IF($AL95=0,AH151,AH133)</f>
        <v>4</v>
      </c>
      <c r="T97" s="240"/>
      <c r="U97" s="240"/>
      <c r="V97" s="240"/>
      <c r="W97" s="240"/>
      <c r="X97" s="239">
        <f>AR111</f>
        <v>-39</v>
      </c>
      <c r="Y97" s="240"/>
      <c r="Z97" s="240"/>
      <c r="AA97" s="243">
        <f>IF(AG145&gt;0,(AR111/AG145),0)</f>
        <v>-0.42857142857142855</v>
      </c>
      <c r="AB97" s="244"/>
      <c r="AC97" s="244"/>
      <c r="AD97" s="247">
        <f>IF(AG159=0,0,(AG151/AG159))</f>
        <v>0</v>
      </c>
      <c r="AE97" s="248"/>
      <c r="AF97" s="249"/>
      <c r="AG97" s="253">
        <v>3</v>
      </c>
      <c r="AH97" s="253">
        <v>1</v>
      </c>
      <c r="AI97" s="255"/>
      <c r="AJ97" s="256"/>
      <c r="AK97" s="48"/>
      <c r="AL97" s="39">
        <v>4</v>
      </c>
      <c r="AM97" s="49" t="s">
        <v>36</v>
      </c>
      <c r="AN97" s="40"/>
      <c r="AO97" s="40"/>
      <c r="AP97" s="40"/>
      <c r="AQ97" s="40"/>
      <c r="AR97" s="40"/>
      <c r="AS97" s="41"/>
    </row>
    <row r="98" spans="1:45" ht="18.75" customHeight="1" thickBot="1" x14ac:dyDescent="0.3">
      <c r="A98" s="232"/>
      <c r="B98" s="259" t="s">
        <v>9</v>
      </c>
      <c r="C98" s="260"/>
      <c r="D98" s="260"/>
      <c r="E98" s="261" t="str">
        <f>AV8</f>
        <v>fj2crone8pm</v>
      </c>
      <c r="F98" s="262"/>
      <c r="G98" s="262"/>
      <c r="H98" s="262"/>
      <c r="I98" s="262"/>
      <c r="J98" s="262"/>
      <c r="K98" s="262"/>
      <c r="L98" s="262"/>
      <c r="M98" s="241"/>
      <c r="N98" s="242"/>
      <c r="O98" s="242"/>
      <c r="P98" s="242"/>
      <c r="Q98" s="242"/>
      <c r="R98" s="220"/>
      <c r="S98" s="241"/>
      <c r="T98" s="242"/>
      <c r="U98" s="242"/>
      <c r="V98" s="242"/>
      <c r="W98" s="242"/>
      <c r="X98" s="241"/>
      <c r="Y98" s="242"/>
      <c r="Z98" s="242"/>
      <c r="AA98" s="245"/>
      <c r="AB98" s="246"/>
      <c r="AC98" s="246"/>
      <c r="AD98" s="250"/>
      <c r="AE98" s="251"/>
      <c r="AF98" s="252"/>
      <c r="AG98" s="254"/>
      <c r="AH98" s="254"/>
      <c r="AI98" s="257"/>
      <c r="AJ98" s="258"/>
      <c r="AK98" s="48"/>
      <c r="AL98" s="56"/>
      <c r="AM98" s="57"/>
      <c r="AN98" s="57"/>
      <c r="AO98" s="57"/>
      <c r="AP98" s="57"/>
      <c r="AQ98" s="57"/>
      <c r="AR98" s="38"/>
      <c r="AS98" s="3"/>
    </row>
    <row r="99" spans="1:45" ht="18.75" customHeight="1" x14ac:dyDescent="0.25">
      <c r="A99" s="231" t="str">
        <f>IF($AL94&gt;3,"4","")</f>
        <v/>
      </c>
      <c r="B99" s="266" t="s">
        <v>8</v>
      </c>
      <c r="C99" s="267"/>
      <c r="D99" s="267"/>
      <c r="E99" s="236">
        <f>AU10</f>
        <v>0</v>
      </c>
      <c r="F99" s="237"/>
      <c r="G99" s="237"/>
      <c r="H99" s="237"/>
      <c r="I99" s="237"/>
      <c r="J99" s="237"/>
      <c r="K99" s="237"/>
      <c r="L99" s="238"/>
      <c r="M99" s="239">
        <f>IF($AL95=0,AG152,AG134)</f>
        <v>0</v>
      </c>
      <c r="N99" s="240"/>
      <c r="O99" s="240"/>
      <c r="P99" s="240"/>
      <c r="Q99" s="240"/>
      <c r="R99" s="220"/>
      <c r="S99" s="239">
        <f>IF($AL95=0,AH152,AH134)</f>
        <v>0</v>
      </c>
      <c r="T99" s="240"/>
      <c r="U99" s="240"/>
      <c r="V99" s="240"/>
      <c r="W99" s="240"/>
      <c r="X99" s="239">
        <f>AR112</f>
        <v>0</v>
      </c>
      <c r="Y99" s="240"/>
      <c r="Z99" s="240"/>
      <c r="AA99" s="243">
        <f>IF(AG146&gt;0,(AR112/AG146),0)</f>
        <v>0</v>
      </c>
      <c r="AB99" s="244"/>
      <c r="AC99" s="244"/>
      <c r="AD99" s="247">
        <f>IF(AG160=0,0,(AG152/AG160))</f>
        <v>0</v>
      </c>
      <c r="AE99" s="248"/>
      <c r="AF99" s="249"/>
      <c r="AG99" s="253"/>
      <c r="AH99" s="253"/>
      <c r="AI99" s="255"/>
      <c r="AJ99" s="256"/>
      <c r="AK99" s="11"/>
      <c r="AL99" s="57"/>
      <c r="AM99" s="57"/>
      <c r="AN99" s="57"/>
      <c r="AO99" s="57"/>
      <c r="AP99" s="57"/>
      <c r="AQ99" s="57"/>
      <c r="AR99" s="40"/>
      <c r="AS99" s="41"/>
    </row>
    <row r="100" spans="1:45" ht="18.75" customHeight="1" thickBot="1" x14ac:dyDescent="0.3">
      <c r="A100" s="232"/>
      <c r="B100" s="259" t="s">
        <v>9</v>
      </c>
      <c r="C100" s="260"/>
      <c r="D100" s="260"/>
      <c r="E100" s="261">
        <f>AV10</f>
        <v>0</v>
      </c>
      <c r="F100" s="262"/>
      <c r="G100" s="262"/>
      <c r="H100" s="262"/>
      <c r="I100" s="262"/>
      <c r="J100" s="262"/>
      <c r="K100" s="262"/>
      <c r="L100" s="262"/>
      <c r="M100" s="241"/>
      <c r="N100" s="242"/>
      <c r="O100" s="242"/>
      <c r="P100" s="242"/>
      <c r="Q100" s="242"/>
      <c r="R100" s="220"/>
      <c r="S100" s="241"/>
      <c r="T100" s="242"/>
      <c r="U100" s="242"/>
      <c r="V100" s="242"/>
      <c r="W100" s="242"/>
      <c r="X100" s="241"/>
      <c r="Y100" s="242"/>
      <c r="Z100" s="242"/>
      <c r="AA100" s="245"/>
      <c r="AB100" s="246"/>
      <c r="AC100" s="246"/>
      <c r="AD100" s="250"/>
      <c r="AE100" s="251"/>
      <c r="AF100" s="252"/>
      <c r="AG100" s="254"/>
      <c r="AH100" s="254"/>
      <c r="AI100" s="257"/>
      <c r="AJ100" s="258"/>
      <c r="AK100" s="11"/>
      <c r="AL100" s="57"/>
      <c r="AM100" s="57"/>
      <c r="AN100" s="57"/>
      <c r="AO100" s="57"/>
      <c r="AP100" s="57"/>
      <c r="AQ100" s="57"/>
      <c r="AR100" s="11"/>
      <c r="AS100" s="3"/>
    </row>
    <row r="101" spans="1:45" ht="18.75" customHeight="1" x14ac:dyDescent="0.25">
      <c r="A101" s="231" t="str">
        <f>IF($AL94&gt;4,"5","")</f>
        <v/>
      </c>
      <c r="B101" s="266" t="s">
        <v>8</v>
      </c>
      <c r="C101" s="267"/>
      <c r="D101" s="267"/>
      <c r="E101" s="236">
        <f>AU12</f>
        <v>0</v>
      </c>
      <c r="F101" s="237"/>
      <c r="G101" s="237"/>
      <c r="H101" s="237"/>
      <c r="I101" s="237"/>
      <c r="J101" s="237"/>
      <c r="K101" s="237"/>
      <c r="L101" s="238"/>
      <c r="M101" s="239">
        <f>IF($AL95=0,AG153,AG135)</f>
        <v>0</v>
      </c>
      <c r="N101" s="240"/>
      <c r="O101" s="240"/>
      <c r="P101" s="240"/>
      <c r="Q101" s="240"/>
      <c r="R101" s="220"/>
      <c r="S101" s="239">
        <f>IF($AL95=0,AH153,AH135)</f>
        <v>0</v>
      </c>
      <c r="T101" s="240"/>
      <c r="U101" s="240"/>
      <c r="V101" s="240"/>
      <c r="W101" s="240"/>
      <c r="X101" s="239">
        <f>AR113</f>
        <v>0</v>
      </c>
      <c r="Y101" s="240"/>
      <c r="Z101" s="240"/>
      <c r="AA101" s="243">
        <f>IF(AG147&gt;0,(AR113/AG147),0)</f>
        <v>0</v>
      </c>
      <c r="AB101" s="244"/>
      <c r="AC101" s="244"/>
      <c r="AD101" s="247">
        <f>IF(AG161=0,0,(AG153/AG161))</f>
        <v>0</v>
      </c>
      <c r="AE101" s="248"/>
      <c r="AF101" s="249"/>
      <c r="AG101" s="253"/>
      <c r="AH101" s="253"/>
      <c r="AI101" s="255"/>
      <c r="AJ101" s="256"/>
      <c r="AK101" s="11"/>
      <c r="AL101" s="57"/>
      <c r="AM101" s="57"/>
      <c r="AN101" s="57"/>
      <c r="AO101" s="57"/>
      <c r="AP101" s="57"/>
      <c r="AQ101" s="57"/>
      <c r="AR101" s="11"/>
      <c r="AS101" s="3"/>
    </row>
    <row r="102" spans="1:45" ht="18.75" customHeight="1" thickBot="1" x14ac:dyDescent="0.3">
      <c r="A102" s="232"/>
      <c r="B102" s="277" t="s">
        <v>9</v>
      </c>
      <c r="C102" s="278"/>
      <c r="D102" s="278"/>
      <c r="E102" s="279">
        <f>AV12</f>
        <v>0</v>
      </c>
      <c r="F102" s="280"/>
      <c r="G102" s="280"/>
      <c r="H102" s="280"/>
      <c r="I102" s="280"/>
      <c r="J102" s="280"/>
      <c r="K102" s="280"/>
      <c r="L102" s="280"/>
      <c r="M102" s="268"/>
      <c r="N102" s="269"/>
      <c r="O102" s="269"/>
      <c r="P102" s="269"/>
      <c r="Q102" s="269"/>
      <c r="R102" s="220"/>
      <c r="S102" s="241"/>
      <c r="T102" s="242"/>
      <c r="U102" s="242"/>
      <c r="V102" s="242"/>
      <c r="W102" s="242"/>
      <c r="X102" s="241"/>
      <c r="Y102" s="242"/>
      <c r="Z102" s="242"/>
      <c r="AA102" s="245"/>
      <c r="AB102" s="246"/>
      <c r="AC102" s="246"/>
      <c r="AD102" s="250"/>
      <c r="AE102" s="251"/>
      <c r="AF102" s="252"/>
      <c r="AG102" s="254"/>
      <c r="AH102" s="276"/>
      <c r="AI102" s="257"/>
      <c r="AJ102" s="258"/>
      <c r="AK102" s="11"/>
      <c r="AL102" s="57"/>
      <c r="AM102" s="57"/>
      <c r="AN102" s="57"/>
      <c r="AO102" s="57"/>
      <c r="AP102" s="57"/>
      <c r="AQ102" s="57"/>
      <c r="AR102" s="11"/>
      <c r="AS102" s="3"/>
    </row>
    <row r="103" spans="1:45" ht="21" customHeight="1" thickTop="1" thickBot="1" x14ac:dyDescent="0.3">
      <c r="A103" s="59"/>
      <c r="B103" s="281" t="s">
        <v>38</v>
      </c>
      <c r="C103" s="282"/>
      <c r="D103" s="282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  <c r="W103" s="282"/>
      <c r="X103" s="282"/>
      <c r="Y103" s="282"/>
      <c r="Z103" s="282"/>
      <c r="AA103" s="282"/>
      <c r="AB103" s="282"/>
      <c r="AC103" s="282"/>
      <c r="AD103" s="282"/>
      <c r="AE103" s="282"/>
      <c r="AF103" s="282"/>
      <c r="AG103" s="282"/>
      <c r="AH103" s="282"/>
      <c r="AI103" s="282"/>
      <c r="AJ103" s="283"/>
      <c r="AK103" s="11"/>
      <c r="AL103" s="57"/>
      <c r="AM103" s="57"/>
      <c r="AN103" s="57"/>
      <c r="AO103" s="57"/>
      <c r="AP103" s="57"/>
      <c r="AQ103" s="57"/>
      <c r="AR103" s="11"/>
      <c r="AS103" s="3"/>
    </row>
    <row r="104" spans="1:45" ht="13.5" customHeight="1" thickTop="1" x14ac:dyDescent="0.25">
      <c r="A104" t="s">
        <v>39</v>
      </c>
      <c r="B104" s="284">
        <v>0.35416666666666669</v>
      </c>
      <c r="C104" s="285"/>
      <c r="D104" s="286"/>
      <c r="E104" s="284">
        <v>0.39583333333333331</v>
      </c>
      <c r="F104" s="285"/>
      <c r="G104" s="286"/>
      <c r="H104" s="284">
        <v>0.4375</v>
      </c>
      <c r="I104" s="285"/>
      <c r="J104" s="286"/>
      <c r="K104" s="311" t="s">
        <v>92</v>
      </c>
      <c r="L104" s="284">
        <v>0.5</v>
      </c>
      <c r="M104" s="285"/>
      <c r="N104" s="286"/>
      <c r="O104" s="284">
        <v>4.1666666666666664E-2</v>
      </c>
      <c r="P104" s="285"/>
      <c r="Q104" s="286"/>
      <c r="R104" s="284">
        <v>8.3333333333333329E-2</v>
      </c>
      <c r="S104" s="285"/>
      <c r="T104" s="286"/>
      <c r="U104" s="284">
        <v>4.1666666666666664E-2</v>
      </c>
      <c r="V104" s="285"/>
      <c r="W104" s="286"/>
      <c r="X104" s="284">
        <v>7.2916666666666671E-2</v>
      </c>
      <c r="Y104" s="285"/>
      <c r="Z104" s="286"/>
      <c r="AA104" s="284">
        <v>0.10416666666666667</v>
      </c>
      <c r="AB104" s="285"/>
      <c r="AC104" s="286"/>
      <c r="AD104" s="284">
        <v>0.13541666666666666</v>
      </c>
      <c r="AE104" s="285"/>
      <c r="AF104" s="286"/>
      <c r="AG104" s="290" t="s">
        <v>40</v>
      </c>
      <c r="AH104" s="291"/>
      <c r="AI104" s="291"/>
      <c r="AJ104" s="291"/>
      <c r="AK104" s="292"/>
      <c r="AL104" s="292"/>
      <c r="AM104" s="292"/>
      <c r="AN104" s="292"/>
      <c r="AO104" s="292"/>
      <c r="AP104" s="292"/>
      <c r="AQ104" s="292"/>
      <c r="AR104" s="293"/>
    </row>
    <row r="105" spans="1:45" x14ac:dyDescent="0.25">
      <c r="A105" s="60" t="s">
        <v>41</v>
      </c>
      <c r="B105" s="298"/>
      <c r="C105" s="299"/>
      <c r="D105" s="300"/>
      <c r="E105" s="298"/>
      <c r="F105" s="299"/>
      <c r="G105" s="300"/>
      <c r="H105" s="298"/>
      <c r="I105" s="299"/>
      <c r="J105" s="300"/>
      <c r="K105" s="312"/>
      <c r="L105" s="298"/>
      <c r="M105" s="299"/>
      <c r="N105" s="300"/>
      <c r="O105" s="298"/>
      <c r="P105" s="299"/>
      <c r="Q105" s="300"/>
      <c r="R105" s="298"/>
      <c r="S105" s="299"/>
      <c r="T105" s="300"/>
      <c r="U105" s="298"/>
      <c r="V105" s="299"/>
      <c r="W105" s="300"/>
      <c r="X105" s="298"/>
      <c r="Y105" s="299"/>
      <c r="Z105" s="300"/>
      <c r="AA105" s="298"/>
      <c r="AB105" s="299"/>
      <c r="AC105" s="300"/>
      <c r="AD105" s="298"/>
      <c r="AE105" s="299"/>
      <c r="AF105" s="300"/>
      <c r="AG105" s="290"/>
      <c r="AH105" s="291"/>
      <c r="AI105" s="291"/>
      <c r="AJ105" s="291"/>
      <c r="AK105" s="291"/>
      <c r="AL105" s="291"/>
      <c r="AM105" s="291"/>
      <c r="AN105" s="291"/>
      <c r="AO105" s="291"/>
      <c r="AP105" s="291"/>
      <c r="AQ105" s="291"/>
      <c r="AR105" s="294"/>
    </row>
    <row r="106" spans="1:45" x14ac:dyDescent="0.25">
      <c r="A106" s="60" t="s">
        <v>42</v>
      </c>
      <c r="B106" s="298"/>
      <c r="C106" s="299"/>
      <c r="D106" s="300"/>
      <c r="E106" s="298"/>
      <c r="F106" s="299"/>
      <c r="G106" s="300"/>
      <c r="H106" s="298"/>
      <c r="I106" s="299"/>
      <c r="J106" s="300"/>
      <c r="K106" s="312"/>
      <c r="L106" s="298"/>
      <c r="M106" s="299"/>
      <c r="N106" s="300"/>
      <c r="O106" s="298"/>
      <c r="P106" s="299"/>
      <c r="Q106" s="300"/>
      <c r="R106" s="298"/>
      <c r="S106" s="299"/>
      <c r="T106" s="300"/>
      <c r="U106" s="298"/>
      <c r="V106" s="299"/>
      <c r="W106" s="300"/>
      <c r="X106" s="298"/>
      <c r="Y106" s="299"/>
      <c r="Z106" s="300"/>
      <c r="AA106" s="298"/>
      <c r="AB106" s="299"/>
      <c r="AC106" s="300"/>
      <c r="AD106" s="298"/>
      <c r="AE106" s="299"/>
      <c r="AF106" s="300"/>
      <c r="AG106" s="290"/>
      <c r="AH106" s="291"/>
      <c r="AI106" s="291"/>
      <c r="AJ106" s="291"/>
      <c r="AK106" s="291"/>
      <c r="AL106" s="291"/>
      <c r="AM106" s="291"/>
      <c r="AN106" s="291"/>
      <c r="AO106" s="291"/>
      <c r="AP106" s="291"/>
      <c r="AQ106" s="291"/>
      <c r="AR106" s="294"/>
    </row>
    <row r="107" spans="1:45" ht="13.8" thickBot="1" x14ac:dyDescent="0.3">
      <c r="A107" s="11"/>
      <c r="B107" s="301" t="s">
        <v>43</v>
      </c>
      <c r="C107" s="302"/>
      <c r="D107" s="303"/>
      <c r="E107" s="301" t="str">
        <f>IF(AL93&gt;1,"Match 2","")</f>
        <v>Match 2</v>
      </c>
      <c r="F107" s="302"/>
      <c r="G107" s="303"/>
      <c r="H107" s="301" t="str">
        <f>IF(AL93&gt;2,"Match 3","")</f>
        <v>Match 3</v>
      </c>
      <c r="I107" s="302"/>
      <c r="J107" s="303"/>
      <c r="K107" s="312"/>
      <c r="L107" s="301" t="str">
        <f>IF(AL93&gt;3,"Match 4","")</f>
        <v>Match 4</v>
      </c>
      <c r="M107" s="302"/>
      <c r="N107" s="303"/>
      <c r="O107" s="301" t="str">
        <f>IF(AL93&gt;4,"Match 5","")</f>
        <v>Match 5</v>
      </c>
      <c r="P107" s="302"/>
      <c r="Q107" s="303"/>
      <c r="R107" s="301" t="str">
        <f>IF(AL93&gt;5,"Match 6","")</f>
        <v>Match 6</v>
      </c>
      <c r="S107" s="302"/>
      <c r="T107" s="303"/>
      <c r="U107" s="301" t="str">
        <f>IF(AL93&gt;6,"Match 7","")</f>
        <v/>
      </c>
      <c r="V107" s="302"/>
      <c r="W107" s="303"/>
      <c r="X107" s="301" t="str">
        <f>IF(AL93&gt;7,"Match 8","")</f>
        <v/>
      </c>
      <c r="Y107" s="302"/>
      <c r="Z107" s="303"/>
      <c r="AA107" s="301" t="str">
        <f>IF(AL93&gt;8,"Match 9","")</f>
        <v/>
      </c>
      <c r="AB107" s="302"/>
      <c r="AC107" s="303"/>
      <c r="AD107" s="301" t="str">
        <f>IF(AL93&gt;9,"Match 10","")</f>
        <v/>
      </c>
      <c r="AE107" s="302"/>
      <c r="AF107" s="303"/>
      <c r="AG107" s="295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7"/>
    </row>
    <row r="108" spans="1:45" ht="15.6" x14ac:dyDescent="0.3">
      <c r="A108" s="11"/>
      <c r="B108" s="304" t="s">
        <v>46</v>
      </c>
      <c r="C108" s="305"/>
      <c r="D108" s="306"/>
      <c r="E108" s="304" t="s">
        <v>44</v>
      </c>
      <c r="F108" s="305"/>
      <c r="G108" s="306"/>
      <c r="H108" s="304" t="s">
        <v>45</v>
      </c>
      <c r="I108" s="305"/>
      <c r="J108" s="306"/>
      <c r="K108" s="312"/>
      <c r="L108" s="304" t="s">
        <v>46</v>
      </c>
      <c r="M108" s="305"/>
      <c r="N108" s="306"/>
      <c r="O108" s="304" t="s">
        <v>44</v>
      </c>
      <c r="P108" s="305"/>
      <c r="Q108" s="306"/>
      <c r="R108" s="304" t="s">
        <v>45</v>
      </c>
      <c r="S108" s="305"/>
      <c r="T108" s="306"/>
      <c r="U108" s="304" t="s">
        <v>47</v>
      </c>
      <c r="V108" s="305"/>
      <c r="W108" s="306"/>
      <c r="X108" s="304" t="s">
        <v>45</v>
      </c>
      <c r="Y108" s="305"/>
      <c r="Z108" s="306"/>
      <c r="AA108" s="304" t="s">
        <v>93</v>
      </c>
      <c r="AB108" s="305"/>
      <c r="AC108" s="306"/>
      <c r="AD108" s="304" t="s">
        <v>46</v>
      </c>
      <c r="AE108" s="305"/>
      <c r="AF108" s="306"/>
      <c r="AG108" s="61" t="s">
        <v>48</v>
      </c>
      <c r="AH108" s="62">
        <v>1</v>
      </c>
      <c r="AI108" s="62">
        <v>2</v>
      </c>
      <c r="AJ108" s="62">
        <v>3</v>
      </c>
      <c r="AK108" s="62">
        <v>4</v>
      </c>
      <c r="AL108" s="62">
        <v>5</v>
      </c>
      <c r="AM108" s="62">
        <v>6</v>
      </c>
      <c r="AN108" s="62">
        <v>7</v>
      </c>
      <c r="AO108" s="62">
        <v>8</v>
      </c>
      <c r="AP108" s="62">
        <v>9</v>
      </c>
      <c r="AQ108" s="62">
        <v>10</v>
      </c>
      <c r="AR108" s="63" t="s">
        <v>49</v>
      </c>
    </row>
    <row r="109" spans="1:45" ht="15.6" x14ac:dyDescent="0.3">
      <c r="A109" s="11"/>
      <c r="B109" s="64">
        <v>1</v>
      </c>
      <c r="C109" s="65" t="s">
        <v>50</v>
      </c>
      <c r="D109" s="66">
        <v>3</v>
      </c>
      <c r="E109" s="64">
        <v>2</v>
      </c>
      <c r="F109" s="65" t="str">
        <f>IF(AL93&gt;1,"v","")</f>
        <v>v</v>
      </c>
      <c r="G109" s="66">
        <v>3</v>
      </c>
      <c r="H109" s="64">
        <v>1</v>
      </c>
      <c r="I109" s="65" t="str">
        <f>IF(AL93&gt;2,"v","")</f>
        <v>v</v>
      </c>
      <c r="J109" s="66">
        <v>2</v>
      </c>
      <c r="K109" s="312"/>
      <c r="L109" s="64">
        <v>1</v>
      </c>
      <c r="M109" s="65" t="str">
        <f>IF(AL93&gt;3,"v","")</f>
        <v>v</v>
      </c>
      <c r="N109" s="66">
        <v>3</v>
      </c>
      <c r="O109" s="64">
        <v>2</v>
      </c>
      <c r="P109" s="65" t="str">
        <f>IF(AL93&gt;4,"v","")</f>
        <v>v</v>
      </c>
      <c r="Q109" s="66">
        <v>3</v>
      </c>
      <c r="R109" s="64">
        <v>1</v>
      </c>
      <c r="S109" s="65" t="str">
        <f>IF(AL93&gt;5,"v","")</f>
        <v>v</v>
      </c>
      <c r="T109" s="66">
        <v>2</v>
      </c>
      <c r="U109" s="64">
        <v>2</v>
      </c>
      <c r="V109" s="65" t="str">
        <f>IF(AL93&gt;6,"v","")</f>
        <v/>
      </c>
      <c r="W109" s="66">
        <v>3</v>
      </c>
      <c r="X109" s="64">
        <v>1</v>
      </c>
      <c r="Y109" s="65" t="str">
        <f>IF(AL93&gt;7,"v","")</f>
        <v/>
      </c>
      <c r="Z109" s="66">
        <v>5</v>
      </c>
      <c r="AA109" s="64">
        <v>3</v>
      </c>
      <c r="AB109" s="65" t="str">
        <f>IF(AL93&gt;8,"v","")</f>
        <v/>
      </c>
      <c r="AC109" s="66">
        <v>4</v>
      </c>
      <c r="AD109" s="64">
        <v>1</v>
      </c>
      <c r="AE109" s="65" t="str">
        <f>IF(AL93&gt;9,"v","")</f>
        <v/>
      </c>
      <c r="AF109" s="66">
        <v>2</v>
      </c>
      <c r="AG109" s="67" t="str">
        <f>IF(AL94&gt;0,"Team 1","")</f>
        <v>Team 1</v>
      </c>
      <c r="AH109" s="68">
        <f>IF(AL94&lt;1,"",IF(AL93&lt;1,"",IF(B109=1,B115-D115,IF(D109=1,D115-B115,""))))</f>
        <v>6</v>
      </c>
      <c r="AI109" s="68" t="str">
        <f>IF(AL94&lt;1,"",IF(AL93&lt;2,"",IF(E109=1,E115-G115,IF(G109=1,G115-E115,""))))</f>
        <v/>
      </c>
      <c r="AJ109" s="68">
        <f>IF(AL94&lt;1,"",IF(AL93&lt;3,"",IF(H109=1,H115-J115,IF(J109=1,J115-H115,""))))</f>
        <v>-11</v>
      </c>
      <c r="AK109" s="68">
        <f>IF(AL94&lt;1,"",IF(AL93&lt;4,"",IF(L109=1,L115-N115,IF(N109=1,N115-L115,""))))</f>
        <v>12</v>
      </c>
      <c r="AL109" s="68" t="str">
        <f>IF(AL94&lt;1,"",IF(AL93&lt;5,"",IF(O109=1,O115-Q115,IF(Q109=1,Q115-O115,""))))</f>
        <v/>
      </c>
      <c r="AM109" s="68">
        <f>IF(AL94&lt;1,"",IF(AL93&lt;6,"",IF(R109=1,R115-T115,IF(T109=1,T115-R115,""))))</f>
        <v>-5</v>
      </c>
      <c r="AN109" s="68" t="str">
        <f>IF(AL94&lt;1,"",IF(AL93&lt;7,"",IF(U109=1,U115-W115,IF(W109=1,W115-U115,""))))</f>
        <v/>
      </c>
      <c r="AO109" s="68" t="str">
        <f>IF(AL94&lt;1,"",IF(AL93&lt;8,"",IF(X109=1,X115-Z115,IF(Z109=1,Z115-X115,""))))</f>
        <v/>
      </c>
      <c r="AP109" s="68" t="str">
        <f>IF(AL94&lt;1,"",IF(AL93&lt;9,"",IF(AA109=1,AA115-AC115,IF(AC109=1,AC115-AA115,""))))</f>
        <v/>
      </c>
      <c r="AQ109" s="68" t="str">
        <f>IF(AL94&lt;1,"",IF(AL93&lt;10,"",IF(AD109=1,AD115-AF115,IF(AF109=1,AF115-AD115,""))))</f>
        <v/>
      </c>
      <c r="AR109" s="63">
        <f>SUM(AH109:AQ109)</f>
        <v>2</v>
      </c>
    </row>
    <row r="110" spans="1:45" ht="15" x14ac:dyDescent="0.25">
      <c r="A110" t="s">
        <v>51</v>
      </c>
      <c r="B110" s="69">
        <v>22</v>
      </c>
      <c r="C110" s="70" t="s">
        <v>52</v>
      </c>
      <c r="D110" s="71">
        <v>16</v>
      </c>
      <c r="E110" s="69">
        <v>24</v>
      </c>
      <c r="F110" s="70" t="str">
        <f>IF(AL93&gt;1,"/","")</f>
        <v>/</v>
      </c>
      <c r="G110" s="71">
        <v>10</v>
      </c>
      <c r="H110" s="69">
        <v>14</v>
      </c>
      <c r="I110" s="70" t="str">
        <f>IF(AL93&gt;2,"/","")</f>
        <v>/</v>
      </c>
      <c r="J110" s="71">
        <v>25</v>
      </c>
      <c r="K110" s="312"/>
      <c r="L110" s="69">
        <v>24</v>
      </c>
      <c r="M110" s="70" t="str">
        <f>IF(AL93&gt;3,"/","")</f>
        <v>/</v>
      </c>
      <c r="N110" s="71">
        <v>12</v>
      </c>
      <c r="O110" s="69">
        <v>21</v>
      </c>
      <c r="P110" s="70" t="str">
        <f>IF(AL93&gt;4,"/","")</f>
        <v>/</v>
      </c>
      <c r="Q110" s="71">
        <v>14</v>
      </c>
      <c r="R110" s="69">
        <v>17</v>
      </c>
      <c r="S110" s="70" t="str">
        <f>IF(AL93&gt;5,"/","")</f>
        <v>/</v>
      </c>
      <c r="T110" s="71">
        <v>22</v>
      </c>
      <c r="U110" s="69"/>
      <c r="V110" s="70" t="str">
        <f>IF(AL93&gt;6,"/","")</f>
        <v/>
      </c>
      <c r="W110" s="71"/>
      <c r="X110" s="69"/>
      <c r="Y110" s="70" t="str">
        <f>IF(AL93&gt;7,"/","")</f>
        <v/>
      </c>
      <c r="Z110" s="71"/>
      <c r="AA110" s="69"/>
      <c r="AB110" s="70" t="str">
        <f>IF(AL93&gt;8,"/","")</f>
        <v/>
      </c>
      <c r="AC110" s="71"/>
      <c r="AD110" s="69"/>
      <c r="AE110" s="70" t="str">
        <f>IF(AL93&gt;9,"/","")</f>
        <v/>
      </c>
      <c r="AF110" s="71"/>
      <c r="AG110" s="67" t="str">
        <f>IF(AL94&gt;1,"Team 2","")</f>
        <v>Team 2</v>
      </c>
      <c r="AH110" s="68" t="str">
        <f>IF(AL94&lt;2,"",IF(AL93&lt;1,"",IF(B109=2,B115-D115,IF(D109=2,D115-B115,""))))</f>
        <v/>
      </c>
      <c r="AI110" s="68">
        <f>IF(AL94&lt;2,"",IF(AL93&lt;2,"",IF(E109=2,E115-G115,IF(G109=2,G115-E115,""))))</f>
        <v>14</v>
      </c>
      <c r="AJ110" s="68">
        <f>IF(AL94&lt;2,"",IF(AL93&lt;3,"",IF(H109=2,H115-J115,IF(J109=2,J115-H115,""))))</f>
        <v>11</v>
      </c>
      <c r="AK110" s="68" t="str">
        <f>IF(AL94&lt;2,"",IF(AL93&lt;4,"",IF(L109=2,L115-N115,IF(N109=2,N115-L115,""))))</f>
        <v/>
      </c>
      <c r="AL110" s="68">
        <f>IF(AL94&lt;2,"",IF(AL93&lt;5,"",IF(O109=2,O115-Q115,IF(Q109=2,Q115-O115,""))))</f>
        <v>7</v>
      </c>
      <c r="AM110" s="68">
        <f>IF(AL94&lt;2,"",IF(AL93&lt;6,"",IF(R109=2,R115-T115,IF(T109=2,T115-R115,""))))</f>
        <v>5</v>
      </c>
      <c r="AN110" s="68" t="str">
        <f>IF(AL94&lt;2,"",IF(AL93&lt;7,"",IF(U109=2,U115-W115,IF(W109=2,W115-U115,""))))</f>
        <v/>
      </c>
      <c r="AO110" s="68" t="str">
        <f>IF(AL94&lt;2,"",IF(AL93&lt;8,"",IF(X109=2,X115-Z115,IF(Z109=2,Z115-X115,""))))</f>
        <v/>
      </c>
      <c r="AP110" s="68" t="str">
        <f>IF(AL94&lt;2,"",IF(AL93&lt;9,"",IF(AA109=2,AA115-AC115,IF(AC109=2,AC115-AA115,""))))</f>
        <v/>
      </c>
      <c r="AQ110" s="68" t="str">
        <f>IF(AL94&lt;2,"",IF(AL93&lt;10,"",IF(AD109=2,AD115-AF115,IF(AF109=2,AF115-AD115,""))))</f>
        <v/>
      </c>
      <c r="AR110" s="63">
        <f>SUM(AH110:AQ110)</f>
        <v>37</v>
      </c>
    </row>
    <row r="111" spans="1:45" ht="15" x14ac:dyDescent="0.25">
      <c r="A111" s="3" t="str">
        <f>IF(AL92&gt;1,"Game 2","")</f>
        <v/>
      </c>
      <c r="B111" s="69"/>
      <c r="C111" s="70" t="s">
        <v>52</v>
      </c>
      <c r="D111" s="71"/>
      <c r="E111" s="69"/>
      <c r="F111" s="70" t="str">
        <f>IF(AL93&gt;1,IF(AL92&gt;1,"/",""),"")</f>
        <v/>
      </c>
      <c r="G111" s="71"/>
      <c r="H111" s="69"/>
      <c r="I111" s="70" t="str">
        <f>IF(AL93&gt;2,IF(AL92&gt;1,"/",""),"")</f>
        <v/>
      </c>
      <c r="J111" s="71"/>
      <c r="K111" s="312"/>
      <c r="L111" s="69"/>
      <c r="M111" s="70" t="str">
        <f>IF(AL93&gt;3,IF(AL92&gt;1,"/",""),"")</f>
        <v/>
      </c>
      <c r="N111" s="71"/>
      <c r="O111" s="69"/>
      <c r="P111" s="70" t="str">
        <f>IF(AL93&gt;4,IF(AL92&gt;1,"/",""),"")</f>
        <v/>
      </c>
      <c r="Q111" s="71"/>
      <c r="R111" s="69"/>
      <c r="S111" s="70" t="str">
        <f>IF(AL93&gt;5,IF(AL92&gt;1,"/",""),"")</f>
        <v/>
      </c>
      <c r="T111" s="71"/>
      <c r="U111" s="69"/>
      <c r="V111" s="70" t="str">
        <f>IF(AL93&gt;6,IF(AL92&gt;1,"/",""),"")</f>
        <v/>
      </c>
      <c r="W111" s="71"/>
      <c r="X111" s="69"/>
      <c r="Y111" s="70" t="str">
        <f>IF(AL93&gt;7,IF(AL92&gt;1,"/",""),"")</f>
        <v/>
      </c>
      <c r="Z111" s="71"/>
      <c r="AA111" s="69"/>
      <c r="AB111" s="70" t="str">
        <f>IF(AL93&gt;8,IF(AL92&gt;1,"/",""),"")</f>
        <v/>
      </c>
      <c r="AC111" s="71"/>
      <c r="AD111" s="69"/>
      <c r="AE111" s="70" t="str">
        <f>IF(AL93&gt;9,IF(AL92&gt;1,"/",""),"")</f>
        <v/>
      </c>
      <c r="AF111" s="71"/>
      <c r="AG111" s="67" t="str">
        <f>IF(AL94&gt;2,"Team 3","")</f>
        <v>Team 3</v>
      </c>
      <c r="AH111" s="68">
        <f>IF(AL94&lt;3,"",IF(AL93&lt;1,"",IF(B109=3,B115-D115,IF(D109=3,D115-B115,""))))</f>
        <v>-6</v>
      </c>
      <c r="AI111" s="68">
        <f>IF(AL94&lt;3,"",IF(AL93&lt;2,"",IF(E109=3,E115-G115,IF(G109=3,G115-E115,""))))</f>
        <v>-14</v>
      </c>
      <c r="AJ111" s="68" t="str">
        <f>IF(AL94&lt;3,"",IF(AL93&lt;3,"",IF(H109=3,H115-J115,IF(J109=3,J115-H115,""))))</f>
        <v/>
      </c>
      <c r="AK111" s="68">
        <f>IF(AL94&lt;3,"",IF(AL93&lt;4,"",IF(L109=3,L115-N115,IF(N109=3,N115-L115,""))))</f>
        <v>-12</v>
      </c>
      <c r="AL111" s="68">
        <f>IF(AL94&lt;3,"",IF(AL93&lt;5,"",IF(O109=3,O115-Q115,IF(Q109=3,Q115-O115,""))))</f>
        <v>-7</v>
      </c>
      <c r="AM111" s="68" t="str">
        <f>IF(AL94&lt;3,"",IF(AL93&lt;6,"",IF(R109=3,R115-T115,IF(T109=3,T115-R115,""))))</f>
        <v/>
      </c>
      <c r="AN111" s="68" t="str">
        <f>IF(AL94&lt;3,"",IF(AL93&lt;7,"",IF(U109=3,U115-W115,IF(W109=3,W115-U115,""))))</f>
        <v/>
      </c>
      <c r="AO111" s="68" t="str">
        <f>IF(AL94&lt;3,"",IF(AL93&lt;8,"",IF(X109=3,X115-Z115,IF(Z109=3,Z115-X115,""))))</f>
        <v/>
      </c>
      <c r="AP111" s="68" t="str">
        <f>IF(AL94&lt;3,"",IF(AL93&lt;9,"",IF(AA109=3,AA115-AC115,IF(AC109=3,AC115-AA115,""))))</f>
        <v/>
      </c>
      <c r="AQ111" s="68" t="str">
        <f>IF(AL94&lt;3,"",IF(AL93&lt;9,"",IF(AD109=3,AD115-AF115,IF(AF109=3,AF115-AD115,""))))</f>
        <v/>
      </c>
      <c r="AR111" s="63">
        <f>SUM(AH111:AQ111)</f>
        <v>-39</v>
      </c>
    </row>
    <row r="112" spans="1:45" ht="15" x14ac:dyDescent="0.25">
      <c r="A112" s="3" t="str">
        <f>IF(AL92&gt;2,"Game 3","")</f>
        <v/>
      </c>
      <c r="B112" s="69"/>
      <c r="C112" s="70" t="s">
        <v>52</v>
      </c>
      <c r="D112" s="71"/>
      <c r="E112" s="69"/>
      <c r="F112" s="70" t="str">
        <f>IF(AL93&gt;1,IF(AL92&gt;2,"/",""),"")</f>
        <v/>
      </c>
      <c r="G112" s="71"/>
      <c r="H112" s="69"/>
      <c r="I112" s="70" t="str">
        <f>IF(AL93&gt;2,IF(AL92&gt;2,"/",""),"")</f>
        <v/>
      </c>
      <c r="J112" s="71"/>
      <c r="K112" s="312"/>
      <c r="L112" s="69"/>
      <c r="M112" s="70" t="str">
        <f>IF(AL93&gt;3,IF(AL92&gt;2,"/",""),"")</f>
        <v/>
      </c>
      <c r="N112" s="71"/>
      <c r="O112" s="69"/>
      <c r="P112" s="70" t="str">
        <f>IF(AL93&gt;4,IF(AL92&gt;2,"/",""),"")</f>
        <v/>
      </c>
      <c r="Q112" s="71"/>
      <c r="R112" s="69"/>
      <c r="S112" s="70" t="str">
        <f>IF(AL93&gt;5,IF(AL92&gt;2,"/",""),"")</f>
        <v/>
      </c>
      <c r="T112" s="71"/>
      <c r="U112" s="69"/>
      <c r="V112" s="70" t="str">
        <f>IF(AL93&gt;6,IF(AL92&gt;2,"/",""),"")</f>
        <v/>
      </c>
      <c r="W112" s="71"/>
      <c r="X112" s="69"/>
      <c r="Y112" s="70" t="str">
        <f>IF(AL93&gt;7,IF(AL92&gt;2,"/",""),"")</f>
        <v/>
      </c>
      <c r="Z112" s="71"/>
      <c r="AA112" s="69"/>
      <c r="AB112" s="70" t="str">
        <f>IF(AL93&gt;8,IF(AL92&gt;2,"/",""),"")</f>
        <v/>
      </c>
      <c r="AC112" s="71"/>
      <c r="AD112" s="69"/>
      <c r="AE112" s="70" t="str">
        <f>IF(AL93&gt;9,IF(AL92&gt;2,"/",""),"")</f>
        <v/>
      </c>
      <c r="AF112" s="71"/>
      <c r="AG112" s="67" t="str">
        <f>IF(AL94&gt;3,"Team 4","")</f>
        <v/>
      </c>
      <c r="AH112" s="68" t="str">
        <f>IF(AL94&lt;4,"",IF(AL93&lt;1,"",IF(B109=4,B115-D115,IF(D109=4,D115-B115,""))))</f>
        <v/>
      </c>
      <c r="AI112" s="68" t="str">
        <f>IF(AL94&lt;4,"",IF(AL93&lt;2,"",IF(E109=4,E115-G115,IF(G109=4,G115-E115,""))))</f>
        <v/>
      </c>
      <c r="AJ112" s="68" t="str">
        <f>IF(AL94&lt;4,"",IF(AL93&lt;3,"",IF(H109=4,H115-J115,IF(J109=4,J115-H115,""))))</f>
        <v/>
      </c>
      <c r="AK112" s="68" t="str">
        <f>IF(AL94&lt;4,"",IF(AL93&lt;4,"",IF(L109=4,L115-N115,IF(N109=4,N115-L115,""))))</f>
        <v/>
      </c>
      <c r="AL112" s="68" t="str">
        <f>IF(AL94&lt;4,"",IF(AL93&lt;5,"",IF(O109=4,O115-Q115,IF(Q109=4,Q115-O115,""))))</f>
        <v/>
      </c>
      <c r="AM112" s="68" t="str">
        <f>IF(AL94&lt;4,"",IF(AL93&lt;6,"",IF(R109=4,R115-T115,IF(T109=4,T115-R115,""))))</f>
        <v/>
      </c>
      <c r="AN112" s="68" t="str">
        <f>IF(AL94&lt;4,"",IF(AL93&lt;7,"",IF(U109=4,U115-W115,IF(W109=4,W115-U115,""))))</f>
        <v/>
      </c>
      <c r="AO112" s="68" t="str">
        <f>IF(AL94&lt;4,"",IF(AL93&lt;8,"",IF(X109=4,X115-Z115,IF(Z109=4,Z115-X115,""))))</f>
        <v/>
      </c>
      <c r="AP112" s="68" t="str">
        <f>IF(AL94&lt;4,"",IF(AL93&lt;9,"",IF(AA109=4,AA115-AC115,IF(AC109=4,AC115-AA115,""))))</f>
        <v/>
      </c>
      <c r="AQ112" s="68" t="str">
        <f>IF(AL94&lt;4,"",IF(AL93&lt;10,"",IF(AD109=4,AD115-AF115,IF(AF109=4,AF115-AD115,""))))</f>
        <v/>
      </c>
      <c r="AR112" s="63">
        <f>SUM(AH112:AQ112)</f>
        <v>0</v>
      </c>
    </row>
    <row r="113" spans="1:44" ht="15" x14ac:dyDescent="0.25">
      <c r="A113" s="3" t="str">
        <f>IF(AL92&gt;3,"Game 4","")</f>
        <v/>
      </c>
      <c r="B113" s="69"/>
      <c r="C113" s="70" t="s">
        <v>52</v>
      </c>
      <c r="D113" s="71"/>
      <c r="E113" s="69"/>
      <c r="F113" s="70" t="str">
        <f>IF(AL93&gt;1,IF(AL92&gt;3,"/",""),"")</f>
        <v/>
      </c>
      <c r="G113" s="71"/>
      <c r="H113" s="69"/>
      <c r="I113" s="70" t="str">
        <f>IF(AL93&gt;2,IF(AL92&gt;3,"/",""),"")</f>
        <v/>
      </c>
      <c r="J113" s="71"/>
      <c r="K113" s="312"/>
      <c r="L113" s="69"/>
      <c r="M113" s="70" t="str">
        <f>IF(AL93&gt;3,IF(AL92&gt;3,"/",""),"")</f>
        <v/>
      </c>
      <c r="N113" s="71"/>
      <c r="O113" s="69"/>
      <c r="P113" s="70" t="str">
        <f>IF(AL93&gt;4,IF(AL92&gt;3,"/",""),"")</f>
        <v/>
      </c>
      <c r="Q113" s="71"/>
      <c r="R113" s="69"/>
      <c r="S113" s="70" t="str">
        <f>IF(AL93&gt;5,IF(AL92&gt;3,"/",""),"")</f>
        <v/>
      </c>
      <c r="T113" s="71"/>
      <c r="U113" s="69"/>
      <c r="V113" s="70" t="str">
        <f>IF(AL93&gt;6,IF(AL92&gt;3,"/",""),"")</f>
        <v/>
      </c>
      <c r="W113" s="71"/>
      <c r="X113" s="69"/>
      <c r="Y113" s="70" t="str">
        <f>IF(AL93&gt;7,IF(AL92&gt;3,"/",""),"")</f>
        <v/>
      </c>
      <c r="Z113" s="71"/>
      <c r="AA113" s="69"/>
      <c r="AB113" s="70" t="str">
        <f>IF(AL93&gt;8,IF(AL92&gt;3,"/",""),"")</f>
        <v/>
      </c>
      <c r="AC113" s="71"/>
      <c r="AD113" s="69"/>
      <c r="AE113" s="70" t="str">
        <f>IF(AL93&gt;9,IF(AL92&gt;3,"/",""),"")</f>
        <v/>
      </c>
      <c r="AF113" s="71"/>
      <c r="AG113" s="67" t="str">
        <f>IF(AL94&gt;4,"Team 5","")</f>
        <v/>
      </c>
      <c r="AH113" s="72" t="str">
        <f>IF(AL94&lt;5,"",IF(AL93&lt;1,"",IF(B109=5,B115-D115,IF(D109=5,D115-B115,""))))</f>
        <v/>
      </c>
      <c r="AI113" s="68" t="str">
        <f>IF(AL94&lt;5,"",IF(AL93&lt;2,"",IF(E109=5,E115-G115,IF(G109=5,G115-E115,""))))</f>
        <v/>
      </c>
      <c r="AJ113" s="68" t="str">
        <f>IF(AL94&lt;5,"",IF(AL93&lt;3,"",IF(H109=5,H115-J115,IF(J109=5,J115-H115,""))))</f>
        <v/>
      </c>
      <c r="AK113" s="68" t="str">
        <f>IF(AL94&lt;5,"",IF(AL93&lt;4,"",IF(L109=5,L115-N115,IF(N109=5,N115-L115,""))))</f>
        <v/>
      </c>
      <c r="AL113" s="68" t="str">
        <f>IF(AL94&lt;5,"",IF(AL93&lt;5,"",IF(O109=5,O115-Q115,IF(Q109=5,Q115-O115,""))))</f>
        <v/>
      </c>
      <c r="AM113" s="68" t="str">
        <f>IF(AL94&lt;5,"",IF(AL93&lt;6,"",IF(R109=5,R115-T115,IF(T109=5,T115-R115,""))))</f>
        <v/>
      </c>
      <c r="AN113" s="68" t="str">
        <f>IF(AL94&lt;5,"",IF(AL93&lt;7,"",IF(U109=5,U115-W115,IF(W109=5,W115-U115,""))))</f>
        <v/>
      </c>
      <c r="AO113" s="68" t="str">
        <f>IF(AL94&lt;5,"",IF(AL93&lt;8,"",IF(X109=5,X115-Z115,IF(Z109=5,Z115-X115,""))))</f>
        <v/>
      </c>
      <c r="AP113" s="68" t="str">
        <f>IF(AL94&lt;5,"",IF(AL93&lt;9,"",IF(AA109=5,AA115-AC115,IF(AC109=5,AC115-AA115,""))))</f>
        <v/>
      </c>
      <c r="AQ113" s="68" t="str">
        <f>IF(AL94&lt;5,"",IF(AL93&lt;10,"",IF(AD109=5,AD115-AF115,IF(AF109=5,AF115-AD115,""))))</f>
        <v/>
      </c>
      <c r="AR113" s="63">
        <f>SUM(AH113:AQ113)</f>
        <v>0</v>
      </c>
    </row>
    <row r="114" spans="1:44" ht="15" x14ac:dyDescent="0.25">
      <c r="A114" s="3" t="str">
        <f>IF(AL92&gt;4,"Game 5","")</f>
        <v/>
      </c>
      <c r="B114" s="69"/>
      <c r="C114" s="70" t="s">
        <v>52</v>
      </c>
      <c r="D114" s="71"/>
      <c r="E114" s="69"/>
      <c r="F114" s="70" t="str">
        <f>IF(AL93&gt;1,IF(AL92&gt;4,"/",""),"")</f>
        <v/>
      </c>
      <c r="G114" s="71"/>
      <c r="H114" s="69"/>
      <c r="I114" s="70" t="str">
        <f>IF(AL93&gt;2,IF(AL92&gt;4,"/",""),"")</f>
        <v/>
      </c>
      <c r="J114" s="71"/>
      <c r="K114" s="313"/>
      <c r="L114" s="69"/>
      <c r="M114" s="70" t="str">
        <f>IF(AL93&gt;3,IF(AL92&gt;4,"/",""),"")</f>
        <v/>
      </c>
      <c r="N114" s="71"/>
      <c r="O114" s="69"/>
      <c r="P114" s="70" t="str">
        <f>IF(AL93&gt;4,IF(AL92&gt;4,"/",""),"")</f>
        <v/>
      </c>
      <c r="Q114" s="71"/>
      <c r="R114" s="69"/>
      <c r="S114" s="70" t="str">
        <f>IF(AL93&gt;5,IF(AL92&gt;4,"/",""),"")</f>
        <v/>
      </c>
      <c r="T114" s="71"/>
      <c r="U114" s="69"/>
      <c r="V114" s="70" t="str">
        <f>IF(AL93&gt;6,IF(AL92&gt;4,"/",""),"")</f>
        <v/>
      </c>
      <c r="W114" s="71"/>
      <c r="X114" s="69"/>
      <c r="Y114" s="70" t="str">
        <f>IF(AL93&gt;7,IF(AL92&gt;4,"/",""),"")</f>
        <v/>
      </c>
      <c r="Z114" s="71"/>
      <c r="AA114" s="69"/>
      <c r="AB114" s="70" t="str">
        <f>IF(AL93&gt;8,IF(AL92&gt;4,"/",""),"")</f>
        <v/>
      </c>
      <c r="AC114" s="71"/>
      <c r="AD114" s="69"/>
      <c r="AE114" s="70" t="str">
        <f>IF(AL93&gt;9,IF(AL92&gt;4,"/",""),"")</f>
        <v/>
      </c>
      <c r="AF114" s="7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</row>
    <row r="115" spans="1:44" hidden="1" x14ac:dyDescent="0.25">
      <c r="A115" s="73"/>
      <c r="B115" s="73">
        <f>IF($AL92=5,SUM(B110:B114),IF($AL92=4,SUM(B110:B113),IF($AL92=3,SUM(B110:B112),IF($AL92=2,SUM(B110:B111),B110))))</f>
        <v>22</v>
      </c>
      <c r="C115" s="73"/>
      <c r="D115" s="73">
        <f>IF($AL92=5,SUM(D110:D114),IF($AL92=4,SUM(D110:D113),IF($AL92=3,SUM(D110:D112),IF($AL92=2,SUM(D110:D111),D110))))</f>
        <v>16</v>
      </c>
      <c r="E115" s="73">
        <f>IF($AL92=5,SUM(E110:E114),IF($AL92=4,SUM(E110:E113),IF($AL92=3,SUM(E110:E112),IF($AL92=2,SUM(E110:E111),E110))))</f>
        <v>24</v>
      </c>
      <c r="F115" s="73"/>
      <c r="G115" s="73">
        <f>IF($AL92=5,SUM(G110:G114),IF($AL92=4,SUM(G110:G113),IF($AL92=3,SUM(G110:G112),IF($AL92=2,SUM(G110:G111),G110))))</f>
        <v>10</v>
      </c>
      <c r="H115" s="73">
        <f>IF($AL92=5,SUM(H110:H114),IF($AL92=4,SUM(H110:H113),IF($AL92=3,SUM(H110:H112),IF($AL92=2,SUM(H110:H111),H110))))</f>
        <v>14</v>
      </c>
      <c r="I115" s="73"/>
      <c r="J115" s="73">
        <f>IF($AL92=5,SUM(J110:J114),IF($AL92=4,SUM(J110:J113),IF($AL92=3,SUM(J110:J112),IF($AL92=2,SUM(J110:J111),J110))))</f>
        <v>25</v>
      </c>
      <c r="K115" s="73"/>
      <c r="L115" s="73">
        <f>IF($AL92=5,SUM(L110:L114),IF($AL92=4,SUM(L110:L113),IF($AL92=3,SUM(L110:L112),IF($AL92=2,SUM(L110:L111),L110))))</f>
        <v>24</v>
      </c>
      <c r="M115" s="73"/>
      <c r="N115" s="73">
        <f>IF($AL92=5,SUM(N110:N114),IF($AL92=4,SUM(N110:N113),IF($AL92=3,SUM(N110:N112),IF($AL92=2,SUM(N110:N111),N110))))</f>
        <v>12</v>
      </c>
      <c r="O115" s="73">
        <f>IF($AL92=5,SUM(O110:O114),IF($AL92=4,SUM(O110:O113),IF($AL92=3,SUM(O110:O112),IF($AL92=2,SUM(O110:O111),O110))))</f>
        <v>21</v>
      </c>
      <c r="P115" s="73"/>
      <c r="Q115" s="73">
        <f>IF($AL92=5,SUM(Q110:Q114),IF($AL92=4,SUM(Q110:Q113),IF($AL92=3,SUM(Q110:Q112),IF($AL92=2,SUM(Q110:Q111),Q110))))</f>
        <v>14</v>
      </c>
      <c r="R115" s="73">
        <f>IF($AL92=5,SUM(R110:R114),IF($AL92=4,SUM(R110:R113),IF($AL92=3,SUM(R110:R112),IF($AL92=2,SUM(R110:R111),R110))))</f>
        <v>17</v>
      </c>
      <c r="S115" s="73"/>
      <c r="T115" s="73">
        <f>IF($AL92=5,SUM(T110:T114),IF($AL92=4,SUM(T110:T113),IF($AL92=3,SUM(T110:T112),IF($AL92=2,SUM(T110:T111),T110))))</f>
        <v>22</v>
      </c>
      <c r="U115" s="73">
        <f>IF($AL92=5,SUM(U110:U114),IF($AL92=4,SUM(U110:U113),IF($AL92=3,SUM(U110:U112),IF($AL92=2,SUM(U110:U111),U110))))</f>
        <v>0</v>
      </c>
      <c r="V115" s="73"/>
      <c r="W115" s="73">
        <f>IF($AL92=5,SUM(W110:W114),IF($AL92=4,SUM(W110:W113),IF($AL92=3,SUM(W110:W112),IF($AL92=2,SUM(W110:W111),W110))))</f>
        <v>0</v>
      </c>
      <c r="X115" s="73">
        <f>IF($AL92=5,SUM(X110:X114),IF($AL92=4,SUM(X110:X113),IF($AL92=3,SUM(X110:X112),IF($AL92=2,SUM(X110:X111),X110))))</f>
        <v>0</v>
      </c>
      <c r="Y115" s="73"/>
      <c r="Z115" s="73">
        <f>IF($AL92=5,SUM(Z110:Z114),IF($AL92=4,SUM(Z110:Z113),IF($AL92=3,SUM(Z110:Z112),IF($AL92=2,SUM(Z110:Z111),Z110))))</f>
        <v>0</v>
      </c>
      <c r="AA115" s="73">
        <f>IF($AL92=5,SUM(AA110:AA114),IF($AL92=4,SUM(AA110:AA113),IF($AL92=3,SUM(AA110:AA112),IF($AL92=2,SUM(AA110:AA111),AA110))))</f>
        <v>0</v>
      </c>
      <c r="AB115" s="73"/>
      <c r="AC115" s="73">
        <f>IF($AL92=5,SUM(AC110:AC114),IF($AL92=4,SUM(AC110:AC113),IF($AL92=3,SUM(AC110:AC112),IF($AL92=2,SUM(AC110:AC111),AC110))))</f>
        <v>0</v>
      </c>
      <c r="AD115" s="73">
        <f>IF($AL92=5,SUM(AD110:AD114),IF($AL92=4,SUM(AD110:AD113),IF($AL92=3,SUM(AD110:AD112),IF($AL92=2,SUM(AD110:AD111),AD110))))</f>
        <v>0</v>
      </c>
      <c r="AE115" s="73"/>
      <c r="AF115" s="73">
        <f>IF($AL92=5,SUM(AF110:AF114),IF($AL92=4,SUM(AF110:AF113),IF($AL92=3,SUM(AF110:AF112),IF($AL92=2,SUM(AF110:AF111),AF110))))</f>
        <v>0</v>
      </c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</row>
    <row r="116" spans="1:44" s="74" customFormat="1" ht="12.75" hidden="1" customHeight="1" x14ac:dyDescent="0.25">
      <c r="A116" s="74" t="s">
        <v>53</v>
      </c>
      <c r="B116" s="75">
        <f>IF(AND(B110&gt;D110,$AL93&gt;0,ISNUMBER(B110),ISNUMBER(D110)),1,0)</f>
        <v>1</v>
      </c>
      <c r="C116" s="75"/>
      <c r="D116" s="76">
        <f>IF(AND(D110&gt;B110,$AL93&gt;0,ISNUMBER(B110),ISNUMBER(D110)),1,0)</f>
        <v>0</v>
      </c>
      <c r="E116" s="75">
        <f>IF(AND(E110&gt;G110,$AL93&gt;1,ISNUMBER(E110),ISNUMBER(G110)),1,0)</f>
        <v>1</v>
      </c>
      <c r="F116" s="75"/>
      <c r="G116" s="76">
        <f>IF(AND(G110&gt;E110,$AL93&gt;1,ISNUMBER(E110),ISNUMBER(G110)),1,0)</f>
        <v>0</v>
      </c>
      <c r="H116" s="75">
        <f>IF(AND(H110&gt;J110,$AL93&gt;2,ISNUMBER(H110),ISNUMBER(J110)),1,0)</f>
        <v>0</v>
      </c>
      <c r="I116" s="75"/>
      <c r="J116" s="76">
        <f>IF(AND(J110&gt;H110,$AL93&gt;2,ISNUMBER(H110),ISNUMBER(J110)),1,0)</f>
        <v>1</v>
      </c>
      <c r="K116" s="77"/>
      <c r="L116" s="75">
        <f>IF(AND(L110&gt;N110,$AL93&gt;3,ISNUMBER(L110),ISNUMBER(N110)),1,0)</f>
        <v>1</v>
      </c>
      <c r="M116" s="75"/>
      <c r="N116" s="76">
        <f>IF(AND(N110&gt;L110,$AL93&gt;3,ISNUMBER(L110),ISNUMBER(N110)),1,0)</f>
        <v>0</v>
      </c>
      <c r="O116" s="75">
        <f>IF(AND(O110&gt;Q110,$AL93&gt;4,ISNUMBER(O110),ISNUMBER(Q110)),1,0)</f>
        <v>1</v>
      </c>
      <c r="P116" s="75"/>
      <c r="Q116" s="76">
        <f>IF(AND(Q110&gt;O110,$AL93&gt;4,ISNUMBER(O110),ISNUMBER(Q110)),1,0)</f>
        <v>0</v>
      </c>
      <c r="R116" s="75">
        <f>IF(AND(R110&gt;T110,$AL93&gt;5,ISNUMBER(R110),ISNUMBER(T110)),1,0)</f>
        <v>0</v>
      </c>
      <c r="S116" s="75"/>
      <c r="T116" s="76">
        <f>IF(AND(T110&gt;R110,$AL93&gt;5,ISNUMBER(R110),ISNUMBER(T110)),1,0)</f>
        <v>1</v>
      </c>
      <c r="U116" s="75">
        <f>IF(AND(U110&gt;W110,$AL93&gt;6,ISNUMBER(U110),ISNUMBER(W110)),1,0)</f>
        <v>0</v>
      </c>
      <c r="V116" s="75"/>
      <c r="W116" s="76">
        <f>IF(AND(W110&gt;U110,$AL93&gt;6,ISNUMBER(U110),ISNUMBER(W110)),1,0)</f>
        <v>0</v>
      </c>
      <c r="X116" s="75">
        <f>IF(AND(X110&gt;Z110,$AL93&gt;7,ISNUMBER(X110),ISNUMBER(Z110)),1,0)</f>
        <v>0</v>
      </c>
      <c r="Y116" s="75"/>
      <c r="Z116" s="76">
        <f>IF(AND(Z110&gt;X110,$AL93&gt;7,ISNUMBER(X110),ISNUMBER(Z110)),1,0)</f>
        <v>0</v>
      </c>
      <c r="AA116" s="75">
        <f>IF(AND(AA110&gt;AC110,$AL93&gt;8,ISNUMBER(AA110),ISNUMBER(AC110)),1,0)</f>
        <v>0</v>
      </c>
      <c r="AB116" s="75"/>
      <c r="AC116" s="76">
        <f>IF(AND(AC110&gt;AA110,$AL93&gt;8,ISNUMBER(AA110),ISNUMBER(AC110)),1,0)</f>
        <v>0</v>
      </c>
      <c r="AD116" s="75">
        <f>IF(AND(AD110&gt;AF110,$AL93&gt;9,ISNUMBER(AD110),ISNUMBER(AF110)),1,0)</f>
        <v>0</v>
      </c>
      <c r="AE116" s="75"/>
      <c r="AF116" s="76">
        <f>IF(AND(AF110&gt;AD110,$AL93&gt;9,ISNUMBER(AD110),ISNUMBER(AF110)),1,0)</f>
        <v>0</v>
      </c>
    </row>
    <row r="117" spans="1:44" s="74" customFormat="1" ht="12.75" hidden="1" customHeight="1" x14ac:dyDescent="0.25">
      <c r="A117" s="74" t="s">
        <v>54</v>
      </c>
      <c r="B117" s="75">
        <f>IF(AND(B111&gt;D111,$AL93&gt;0,$AL92&gt;1,ISNUMBER(B111),ISNUMBER(D111)),1,0)</f>
        <v>0</v>
      </c>
      <c r="C117" s="75"/>
      <c r="D117" s="76">
        <f>IF(AND(D111&gt;B111,$AL93&gt;0,$AL92&gt;1,ISNUMBER(B111),ISNUMBER(D111)),1,0)</f>
        <v>0</v>
      </c>
      <c r="E117" s="75">
        <f>IF(AND(E111&gt;G111,$AL93&gt;1,$AL92&gt;1,ISNUMBER(E111),ISNUMBER(G111)),1,0)</f>
        <v>0</v>
      </c>
      <c r="F117" s="75"/>
      <c r="G117" s="76">
        <f>IF(AND(G111&gt;E111,$AL93&gt;1,$AL92&gt;1,ISNUMBER(E111),ISNUMBER(G111)),1,0)</f>
        <v>0</v>
      </c>
      <c r="H117" s="75">
        <f>IF(AND(H111&gt;J111,$AL93&gt;2,$AL92&gt;1,ISNUMBER(H111),ISNUMBER(J111)),1,0)</f>
        <v>0</v>
      </c>
      <c r="I117" s="75"/>
      <c r="J117" s="76">
        <f>IF(AND(J111&gt;H111,$AL93&gt;2,$AL92&gt;1,ISNUMBER(H111),ISNUMBER(J111)),1,0)</f>
        <v>0</v>
      </c>
      <c r="K117" s="77"/>
      <c r="L117" s="75">
        <f>IF(AND(L111&gt;N111,$AL93&gt;3,$AL92&gt;1,ISNUMBER(L111),ISNUMBER(N111)),1,0)</f>
        <v>0</v>
      </c>
      <c r="M117" s="75"/>
      <c r="N117" s="76">
        <f>IF(AND(N111&gt;L111,$AL93&gt;3,$AL92&gt;1,ISNUMBER(L111),ISNUMBER(N111)),1,0)</f>
        <v>0</v>
      </c>
      <c r="O117" s="75">
        <f>IF(AND(O111&gt;Q111,$AL93&gt;4,$AL92&gt;1,ISNUMBER(O111),ISNUMBER(Q111)),1,0)</f>
        <v>0</v>
      </c>
      <c r="P117" s="75"/>
      <c r="Q117" s="76">
        <f>IF(AND(Q111&gt;O111,$AL93&gt;4,$AL92&gt;1,ISNUMBER(O111),ISNUMBER(Q111)),1,0)</f>
        <v>0</v>
      </c>
      <c r="R117" s="75">
        <f>IF(AND(R111&gt;T111,$AL93&gt;5,$AL92&gt;1,ISNUMBER(R111),ISNUMBER(T111)),1,0)</f>
        <v>0</v>
      </c>
      <c r="S117" s="75"/>
      <c r="T117" s="76">
        <f>IF(AND(T111&gt;R111,$AL93&gt;5,$AL92&gt;1,ISNUMBER(R111),ISNUMBER(T111)),1,0)</f>
        <v>0</v>
      </c>
      <c r="U117" s="75">
        <f>IF(AND(U111&gt;W111,$AL93&gt;6,$AL92&gt;1,ISNUMBER(U111),ISNUMBER(W111)),1,0)</f>
        <v>0</v>
      </c>
      <c r="V117" s="75"/>
      <c r="W117" s="76">
        <f>IF(AND(W111&gt;U111,$AL93&gt;6,$AL92&gt;1,ISNUMBER(U111),ISNUMBER(W111)),1,0)</f>
        <v>0</v>
      </c>
      <c r="X117" s="75">
        <f>IF(AND(X111&gt;Z111,$AL93&gt;7,$AL92&gt;1,ISNUMBER(X111),ISNUMBER(Z111)),1,0)</f>
        <v>0</v>
      </c>
      <c r="Y117" s="75"/>
      <c r="Z117" s="76">
        <f>IF(AND(Z111&gt;X111,$AL93&gt;7,$AL92&gt;1,ISNUMBER(X111),ISNUMBER(Z111)),1,0)</f>
        <v>0</v>
      </c>
      <c r="AA117" s="75">
        <f>IF(AND(AA111&gt;AC111,$AL93&gt;8,$AL92&gt;1,ISNUMBER(AA111),ISNUMBER(AC111)),1,0)</f>
        <v>0</v>
      </c>
      <c r="AB117" s="75"/>
      <c r="AC117" s="76">
        <f>IF(AND(AC111&gt;AA111,$AL93&gt;8,$AL92&gt;1,ISNUMBER(AA111),ISNUMBER(AC111)),1,0)</f>
        <v>0</v>
      </c>
      <c r="AD117" s="75">
        <f>IF(AND(AD111&gt;AF111,$AL93&gt;9,$AL92&gt;1,ISNUMBER(AD111),ISNUMBER(AF111)),1,0)</f>
        <v>0</v>
      </c>
      <c r="AE117" s="75"/>
      <c r="AF117" s="76">
        <f>IF(AND(AF111&gt;AD111,$AL93&gt;9,$AL92&gt;1,ISNUMBER(AD111),ISNUMBER(AF111)),1,0)</f>
        <v>0</v>
      </c>
    </row>
    <row r="118" spans="1:44" s="74" customFormat="1" ht="12.75" hidden="1" customHeight="1" x14ac:dyDescent="0.25">
      <c r="A118" s="74" t="s">
        <v>55</v>
      </c>
      <c r="B118" s="75">
        <f>IF(AND(B112&gt;D112,$AL93&gt;0,$AL92&gt;2,ISNUMBER(B112),ISNUMBER(D112)),1,0)</f>
        <v>0</v>
      </c>
      <c r="C118" s="75"/>
      <c r="D118" s="76">
        <f>IF(AND(D112&gt;B112,$AL93&gt;0,$AL92&gt;2,ISNUMBER(B112),ISNUMBER(D112)),1,0)</f>
        <v>0</v>
      </c>
      <c r="E118" s="75">
        <f>IF(AND(E112&gt;G112,$AL93&gt;1,$AL92&gt;2,ISNUMBER(E112),ISNUMBER(G112)),1,0)</f>
        <v>0</v>
      </c>
      <c r="F118" s="75"/>
      <c r="G118" s="76">
        <f>IF(AND(G112&gt;E112,$AL93&gt;1,$AL92&gt;2,ISNUMBER(E112),ISNUMBER(G112)),1,0)</f>
        <v>0</v>
      </c>
      <c r="H118" s="75">
        <f>IF(AND(H112&gt;J112,$AL93&gt;2,$AL92&gt;2,ISNUMBER(H112),ISNUMBER(J112)),1,0)</f>
        <v>0</v>
      </c>
      <c r="I118" s="75"/>
      <c r="J118" s="76">
        <f>IF(AND(J112&gt;H112,$AL93&gt;2,$AL92&gt;2,ISNUMBER(H112),ISNUMBER(J112)),1,0)</f>
        <v>0</v>
      </c>
      <c r="K118" s="77"/>
      <c r="L118" s="75">
        <f>IF(AND(L112&gt;N112,$AL93&gt;3,$AL92&gt;2,ISNUMBER(L112),ISNUMBER(N112)),1,0)</f>
        <v>0</v>
      </c>
      <c r="M118" s="75"/>
      <c r="N118" s="76">
        <f>IF(AND(N112&gt;L112,$AL93&gt;3,$AL92&gt;2,ISNUMBER(L112),ISNUMBER(N112)),1,0)</f>
        <v>0</v>
      </c>
      <c r="O118" s="75">
        <f>IF(AND(O112&gt;Q112,$AL93&gt;4,$AL92&gt;2,ISNUMBER(O112),ISNUMBER(Q112)),1,0)</f>
        <v>0</v>
      </c>
      <c r="P118" s="75"/>
      <c r="Q118" s="76">
        <f>IF(AND(Q112&gt;O112,$AL93&gt;4,$AL92&gt;2,ISNUMBER(O112),ISNUMBER(Q112)),1,0)</f>
        <v>0</v>
      </c>
      <c r="R118" s="75">
        <f>IF(AND(R112&gt;T112,$AL93&gt;5,$AL92&gt;2,ISNUMBER(R112),ISNUMBER(T112)),1,0)</f>
        <v>0</v>
      </c>
      <c r="S118" s="75"/>
      <c r="T118" s="76">
        <f>IF(AND(T112&gt;R112,$AL93&gt;5,$AL92&gt;2,ISNUMBER(R112),ISNUMBER(T112)),1,0)</f>
        <v>0</v>
      </c>
      <c r="U118" s="75">
        <f>IF(AND(U112&gt;W112,$AL93&gt;6,$AL92&gt;2,ISNUMBER(U112),ISNUMBER(W112)),1,0)</f>
        <v>0</v>
      </c>
      <c r="V118" s="75"/>
      <c r="W118" s="76">
        <f>IF(AND(W112&gt;U112,$AL93&gt;6,$AL92&gt;2,ISNUMBER(U112),ISNUMBER(W112)),1,0)</f>
        <v>0</v>
      </c>
      <c r="X118" s="75">
        <f>IF(AND(X112&gt;Z112,$AL93&gt;7,$AL92&gt;2,ISNUMBER(X112),ISNUMBER(Z112)),1,0)</f>
        <v>0</v>
      </c>
      <c r="Y118" s="75"/>
      <c r="Z118" s="76">
        <f>IF(AND(Z112&gt;X112,$AL93&gt;7,$AL92&gt;2,ISNUMBER(X112),ISNUMBER(Z112)),1,0)</f>
        <v>0</v>
      </c>
      <c r="AA118" s="75">
        <f>IF(AND(AA112&gt;AC112,$AL93&gt;8,$AL92&gt;2,ISNUMBER(AA112),ISNUMBER(AC112)),1,0)</f>
        <v>0</v>
      </c>
      <c r="AB118" s="75"/>
      <c r="AC118" s="76">
        <f>IF(AND(AC112&gt;AA112,$AL93&gt;8,$AL92&gt;2,ISNUMBER(AA112),ISNUMBER(AC112)),1,0)</f>
        <v>0</v>
      </c>
      <c r="AD118" s="75">
        <f>IF(AND(AD112&gt;AF112,$AL93&gt;9,$AL92&gt;2,ISNUMBER(AD112),ISNUMBER(AF112)),1,0)</f>
        <v>0</v>
      </c>
      <c r="AE118" s="75"/>
      <c r="AF118" s="76">
        <f>IF(AND(AF112&gt;AD112,$AL93&gt;9,$AL92&gt;2,ISNUMBER(AD112),ISNUMBER(AF112)),1,0)</f>
        <v>0</v>
      </c>
    </row>
    <row r="119" spans="1:44" s="74" customFormat="1" ht="12.75" hidden="1" customHeight="1" x14ac:dyDescent="0.25">
      <c r="A119" s="74" t="s">
        <v>56</v>
      </c>
      <c r="B119" s="75">
        <f>IF(AND(B113&gt;D113,$AL93&gt;0,$AL92&gt;3,ISNUMBER(B113),ISNUMBER(D113)),1,0)</f>
        <v>0</v>
      </c>
      <c r="C119" s="75"/>
      <c r="D119" s="76">
        <f>IF(AND(D113&gt;B113,$AL93&gt;0,$AL92&gt;3,ISNUMBER(B113),ISNUMBER(D113)),1,0)</f>
        <v>0</v>
      </c>
      <c r="E119" s="75">
        <f>IF(AND(E113&gt;G113,$AL93&gt;1,$AL92&gt;3,ISNUMBER(E113),ISNUMBER(G113)),1,0)</f>
        <v>0</v>
      </c>
      <c r="F119" s="75"/>
      <c r="G119" s="76">
        <f>IF(AND(G113&gt;E113,$AL93&gt;1,$AL92&gt;3,ISNUMBER(E113),ISNUMBER(G113)),1,0)</f>
        <v>0</v>
      </c>
      <c r="H119" s="75">
        <f>IF(AND(H113&gt;J113,$AL93&gt;2,$AL92&gt;3,ISNUMBER(H113),ISNUMBER(J113)),1,0)</f>
        <v>0</v>
      </c>
      <c r="I119" s="75"/>
      <c r="J119" s="76">
        <f>IF(AND(J113&gt;H113,$AL93&gt;2,$AL92&gt;3,ISNUMBER(H113),ISNUMBER(J113)),1,0)</f>
        <v>0</v>
      </c>
      <c r="K119" s="77"/>
      <c r="L119" s="75">
        <f>IF(AND(L113&gt;N113,$AL93&gt;3,$AL92&gt;3,ISNUMBER(L113),ISNUMBER(N113)),1,0)</f>
        <v>0</v>
      </c>
      <c r="M119" s="75"/>
      <c r="N119" s="76">
        <f>IF(AND(N113&gt;L113,$AL93&gt;3,$AL92&gt;3,ISNUMBER(L113),ISNUMBER(N113)),1,0)</f>
        <v>0</v>
      </c>
      <c r="O119" s="75">
        <f>IF(AND(O113&gt;Q113,$AL93&gt;4,$AL92&gt;3,ISNUMBER(O113),ISNUMBER(Q113)),1,0)</f>
        <v>0</v>
      </c>
      <c r="P119" s="75"/>
      <c r="Q119" s="76">
        <f>IF(AND(Q113&gt;O113,$AL93&gt;4,$AL92&gt;3,ISNUMBER(O113),ISNUMBER(Q113)),1,0)</f>
        <v>0</v>
      </c>
      <c r="R119" s="75">
        <f>IF(AND(R113&gt;T113,$AL93&gt;5,$AL92&gt;3,ISNUMBER(R113),ISNUMBER(T113)),1,0)</f>
        <v>0</v>
      </c>
      <c r="S119" s="75"/>
      <c r="T119" s="76">
        <f>IF(AND(T113&gt;R113,$AL93&gt;5,$AL92&gt;3,ISNUMBER(R113),ISNUMBER(T113)),1,0)</f>
        <v>0</v>
      </c>
      <c r="U119" s="75">
        <f>IF(AND(U113&gt;W113,$AL93&gt;6,$AL92&gt;3,ISNUMBER(U113),ISNUMBER(W113)),1,0)</f>
        <v>0</v>
      </c>
      <c r="V119" s="75"/>
      <c r="W119" s="76">
        <f>IF(AND(W113&gt;U113,$AL93&gt;6,$AL92&gt;3,ISNUMBER(U113),ISNUMBER(W113)),1,0)</f>
        <v>0</v>
      </c>
      <c r="X119" s="75">
        <f>IF(AND(X113&gt;Z113,$AL93&gt;7,$AL92&gt;3,ISNUMBER(X113),ISNUMBER(Z113)),1,0)</f>
        <v>0</v>
      </c>
      <c r="Y119" s="75"/>
      <c r="Z119" s="76">
        <f>IF(AND(Z113&gt;X113,$AL93&gt;7,$AL92&gt;3,ISNUMBER(X113),ISNUMBER(Z113)),1,0)</f>
        <v>0</v>
      </c>
      <c r="AA119" s="75">
        <f>IF(AND(AA113&gt;AC113,$AL93&gt;8,$AL92&gt;3,ISNUMBER(AA113),ISNUMBER(AC113)),1,0)</f>
        <v>0</v>
      </c>
      <c r="AB119" s="75"/>
      <c r="AC119" s="76">
        <f>IF(AND(AC113&gt;AA113,$AL93&gt;8,$AL92&gt;3,ISNUMBER(AA113),ISNUMBER(AC113)),1,0)</f>
        <v>0</v>
      </c>
      <c r="AD119" s="75">
        <f>IF(AND(AD113&gt;AF113,$AL93&gt;9,$AL92&gt;3,ISNUMBER(AD113),ISNUMBER(AF113)),1,0)</f>
        <v>0</v>
      </c>
      <c r="AE119" s="75"/>
      <c r="AF119" s="76">
        <f>IF(AND(AF113&gt;AD113,$AL93&gt;9,$AL92&gt;3,ISNUMBER(AD113),ISNUMBER(AF113)),1,0)</f>
        <v>0</v>
      </c>
    </row>
    <row r="120" spans="1:44" s="74" customFormat="1" ht="12.75" hidden="1" customHeight="1" x14ac:dyDescent="0.25">
      <c r="A120" s="74" t="s">
        <v>57</v>
      </c>
      <c r="B120" s="75">
        <f>IF(AND(B114&gt;D114,$AL93&gt;0,$AL92&gt;4,ISNUMBER(B114),ISNUMBER(D114)),1,0)</f>
        <v>0</v>
      </c>
      <c r="C120" s="75"/>
      <c r="D120" s="76">
        <f>IF(AND(D114&gt;B114,$AL93&gt;0,$AL92&gt;4,ISNUMBER(B114),ISNUMBER(D114)),1,0)</f>
        <v>0</v>
      </c>
      <c r="E120" s="75">
        <f>IF(AND(E114&gt;G114,$AL93&gt;1,$AL92&gt;4,ISNUMBER(E114),ISNUMBER(G114)),1,0)</f>
        <v>0</v>
      </c>
      <c r="F120" s="75"/>
      <c r="G120" s="76">
        <f>IF(AND(G114&gt;E114,$AL93&gt;1,$AL92&gt;4,ISNUMBER(E114),ISNUMBER(G114)),1,0)</f>
        <v>0</v>
      </c>
      <c r="H120" s="75">
        <f>IF(AND(H114&gt;J114,$AL93&gt;2,$AL92&gt;4,ISNUMBER(H114),ISNUMBER(J114)),1,0)</f>
        <v>0</v>
      </c>
      <c r="I120" s="75"/>
      <c r="J120" s="76">
        <f>IF(AND(J114&gt;H114,$AL93&gt;2,$AL92&gt;4,ISNUMBER(H114),ISNUMBER(J114)),1,0)</f>
        <v>0</v>
      </c>
      <c r="K120" s="77"/>
      <c r="L120" s="75">
        <f>IF(AND(L114&gt;N114,$AL93&gt;3,$AL92&gt;4,ISNUMBER(L114),ISNUMBER(N114)),1,0)</f>
        <v>0</v>
      </c>
      <c r="M120" s="75"/>
      <c r="N120" s="76">
        <f>IF(AND(N114&gt;L114,$AL93&gt;3,$AL92&gt;4,ISNUMBER(L114),ISNUMBER(N114)),1,0)</f>
        <v>0</v>
      </c>
      <c r="O120" s="75">
        <f>IF(AND(O114&gt;Q114,$AL93&gt;4,$AL92&gt;4,ISNUMBER(O114),ISNUMBER(Q114)),1,0)</f>
        <v>0</v>
      </c>
      <c r="P120" s="75"/>
      <c r="Q120" s="76">
        <f>IF(AND(Q114&gt;O114,$AL93&gt;4,$AL92&gt;4,ISNUMBER(O114),ISNUMBER(Q114)),1,0)</f>
        <v>0</v>
      </c>
      <c r="R120" s="75">
        <f>IF(AND(R114&gt;T114,$AL93&gt;5,$AL92&gt;4,ISNUMBER(R114),ISNUMBER(T114)),1,0)</f>
        <v>0</v>
      </c>
      <c r="S120" s="75"/>
      <c r="T120" s="76">
        <f>IF(AND(T114&gt;R114,$AL93&gt;5,$AL92&gt;4,ISNUMBER(R114),ISNUMBER(T114)),1,0)</f>
        <v>0</v>
      </c>
      <c r="U120" s="75">
        <f>IF(AND(U114&gt;W114,$AL93&gt;6,$AL92&gt;4,ISNUMBER(U114),ISNUMBER(W114)),1,0)</f>
        <v>0</v>
      </c>
      <c r="V120" s="75"/>
      <c r="W120" s="76">
        <f>IF(AND(W114&gt;U114,$AL93&gt;6,$AL92&gt;4,ISNUMBER(U114),ISNUMBER(W114)),1,0)</f>
        <v>0</v>
      </c>
      <c r="X120" s="75">
        <f>IF(AND(X114&gt;Z114,$AL93&gt;7,$AL92&gt;4,ISNUMBER(X114),ISNUMBER(Z114)),1,0)</f>
        <v>0</v>
      </c>
      <c r="Y120" s="75"/>
      <c r="Z120" s="76">
        <f>IF(AND(Z114&gt;X114,$AL93&gt;7,$AL92&gt;4,ISNUMBER(X114),ISNUMBER(Z114)),1,0)</f>
        <v>0</v>
      </c>
      <c r="AA120" s="75">
        <f>IF(AND(AA114&gt;AC114,$AL93&gt;8,$AL92&gt;4,ISNUMBER(AA114),ISNUMBER(AC114)),1,0)</f>
        <v>0</v>
      </c>
      <c r="AB120" s="75"/>
      <c r="AC120" s="76">
        <f>IF(AND(AC114&gt;AA114,$AL93&gt;8,$AL92&gt;4,ISNUMBER(AA114),ISNUMBER(AC114)),1,0)</f>
        <v>0</v>
      </c>
      <c r="AD120" s="75">
        <f>IF(AND(AD114&gt;AF114,$AL93&gt;9,$AL92&gt;4,ISNUMBER(AD114),ISNUMBER(AF114)),1,0)</f>
        <v>0</v>
      </c>
      <c r="AE120" s="75"/>
      <c r="AF120" s="76">
        <f>IF(AND(AF114&gt;AD114,$AL93&gt;9,$AL92&gt;4,ISNUMBER(AD114),ISNUMBER(AF114)),1,0)</f>
        <v>0</v>
      </c>
    </row>
    <row r="121" spans="1:44" s="74" customFormat="1" ht="38.25" hidden="1" customHeight="1" x14ac:dyDescent="0.25">
      <c r="A121" s="78" t="s">
        <v>58</v>
      </c>
      <c r="B121" s="74">
        <f>SUM(B116:B120)</f>
        <v>1</v>
      </c>
      <c r="D121" s="77">
        <f>SUM(D116:D120)</f>
        <v>0</v>
      </c>
      <c r="E121" s="74">
        <f>SUM(E116:E120)</f>
        <v>1</v>
      </c>
      <c r="G121" s="77">
        <f>SUM(G116:G120)</f>
        <v>0</v>
      </c>
      <c r="H121" s="74">
        <f>SUM(H116:H120)</f>
        <v>0</v>
      </c>
      <c r="J121" s="77">
        <f>SUM(J116:J120)</f>
        <v>1</v>
      </c>
      <c r="K121" s="77"/>
      <c r="L121" s="74">
        <f>SUM(L116:L120)</f>
        <v>1</v>
      </c>
      <c r="N121" s="77">
        <f>SUM(N116:N120)</f>
        <v>0</v>
      </c>
      <c r="O121" s="74">
        <f>SUM(O116:O120)</f>
        <v>1</v>
      </c>
      <c r="Q121" s="77">
        <f>SUM(Q116:Q120)</f>
        <v>0</v>
      </c>
      <c r="R121" s="74">
        <f>SUM(R116:R120)</f>
        <v>0</v>
      </c>
      <c r="T121" s="77">
        <f>SUM(T116:T120)</f>
        <v>1</v>
      </c>
      <c r="U121" s="74">
        <f>SUM(U116:U120)</f>
        <v>0</v>
      </c>
      <c r="W121" s="77">
        <f>SUM(W116:W120)</f>
        <v>0</v>
      </c>
      <c r="X121" s="74">
        <f>SUM(X116:X120)</f>
        <v>0</v>
      </c>
      <c r="Z121" s="77">
        <f>SUM(Z116:Z120)</f>
        <v>0</v>
      </c>
      <c r="AA121" s="74">
        <f>SUM(AA116:AA120)</f>
        <v>0</v>
      </c>
      <c r="AC121" s="77">
        <f>SUM(AC116:AC120)</f>
        <v>0</v>
      </c>
      <c r="AD121" s="74">
        <f>SUM(AD116:AD120)</f>
        <v>0</v>
      </c>
      <c r="AF121" s="77">
        <f>SUM(AF116:AF120)</f>
        <v>0</v>
      </c>
    </row>
    <row r="122" spans="1:44" s="74" customFormat="1" ht="25.5" hidden="1" customHeight="1" x14ac:dyDescent="0.25">
      <c r="A122" s="78" t="s">
        <v>59</v>
      </c>
      <c r="B122" s="74">
        <f>IF(B121&gt;D121,IF(C156=AL92,1,IF(C156=AL92-1,1,0)),0)</f>
        <v>1</v>
      </c>
      <c r="C122" s="74">
        <f>B122+D122</f>
        <v>1</v>
      </c>
      <c r="D122" s="77">
        <f>IF(D121&gt;B121,IF(C156=AL92,1,IF(C156=AL92-1,1,0)),0)</f>
        <v>0</v>
      </c>
      <c r="E122" s="74">
        <f>IF(E121&gt;G121,IF(F156=AL92,1,IF(F156=AL92-1,1,0)),0)</f>
        <v>1</v>
      </c>
      <c r="F122" s="74">
        <f>E122+G122</f>
        <v>1</v>
      </c>
      <c r="G122" s="77">
        <f>IF(G121&gt;E121,IF(F156=AL92,1,IF(F156=AL92-1,1,0)),0)</f>
        <v>0</v>
      </c>
      <c r="H122" s="74">
        <f>IF(H121&gt;J121,IF(I156=AL92,1,IF(I156=AL92-1,1,0)),0)</f>
        <v>0</v>
      </c>
      <c r="I122" s="74">
        <f>H122+J122</f>
        <v>1</v>
      </c>
      <c r="J122" s="77">
        <f>IF(J121&gt;H121,IF(I156=AL92,1,IF(I156=AL92-1,1,0)),0)</f>
        <v>1</v>
      </c>
      <c r="K122" s="77"/>
      <c r="L122" s="74">
        <f>IF(L121&gt;N121,IF(M156=AL92,1,IF(M156=AL92-1,1,0)),0)</f>
        <v>1</v>
      </c>
      <c r="M122" s="74">
        <f>L122+N122</f>
        <v>1</v>
      </c>
      <c r="N122" s="77">
        <f>IF(N121&gt;L121,IF(M156=AL92,1,IF(M156=AL92-1,1,0)),0)</f>
        <v>0</v>
      </c>
      <c r="O122" s="74">
        <f>IF(O121&gt;Q121,IF(P156=AL92,1,IF(P156=AL92-1,1,0)),0)</f>
        <v>1</v>
      </c>
      <c r="P122" s="74">
        <f>O122+Q122</f>
        <v>1</v>
      </c>
      <c r="Q122" s="77">
        <f>IF(Q121&gt;O121,IF(P156=AL92,1,IF(P156=AL92-1,1,0)),0)</f>
        <v>0</v>
      </c>
      <c r="R122" s="74">
        <f>IF(R121&gt;T121,IF(S156=AL92,1,IF(S156=AL92-1,1,0)),0)</f>
        <v>0</v>
      </c>
      <c r="S122" s="74">
        <f>R122+T122</f>
        <v>1</v>
      </c>
      <c r="T122" s="77">
        <f>IF(T121&gt;R121,IF(S156=AL92,1,IF(S156=AL92-1,1,0)),0)</f>
        <v>1</v>
      </c>
      <c r="U122" s="74">
        <f>IF(U121&gt;W121,IF(V156=AL92,1,IF(V156=AL92-1,1,0)),0)</f>
        <v>0</v>
      </c>
      <c r="V122" s="74">
        <f>U122+W122</f>
        <v>0</v>
      </c>
      <c r="W122" s="77">
        <f>IF(W121&gt;U121,IF(V156=AL92,1,IF(V156=AL92-1,1,0)),0)</f>
        <v>0</v>
      </c>
      <c r="X122" s="74">
        <f>IF(X121&gt;Z121,IF(Y156=AL92,1,IF(Y156=AL92-1,1,0)),0)</f>
        <v>0</v>
      </c>
      <c r="Y122" s="74">
        <f>X122+Z122</f>
        <v>0</v>
      </c>
      <c r="Z122" s="77">
        <f>IF(Z121&gt;X121,IF(Y156=AL92,1,IF(Y156=AL92-1,1,0)),0)</f>
        <v>0</v>
      </c>
      <c r="AA122" s="74">
        <f>IF(AA121&gt;AC121,IF(AB156=AL92,1,IF(AB156=AL92-1,1,0)),0)</f>
        <v>0</v>
      </c>
      <c r="AB122" s="74">
        <f>AA122+AC122</f>
        <v>0</v>
      </c>
      <c r="AC122" s="77">
        <f>IF(AC121&gt;AA121,IF(AB156=AL92,1,IF(AB156=AL92-1,1,0)),0)</f>
        <v>0</v>
      </c>
      <c r="AD122" s="74">
        <f>IF(AD121&gt;AF121,IF(AE156=AL92,1,IF(AE156=AL92-1,1,0)),0)</f>
        <v>0</v>
      </c>
      <c r="AE122" s="74">
        <f>AD122+AF122</f>
        <v>0</v>
      </c>
      <c r="AF122" s="77">
        <f>IF(AF121&gt;AD121,IF(AE156=AL92,1,IF(AE156=AL92-1,1,0)),0)</f>
        <v>0</v>
      </c>
    </row>
    <row r="123" spans="1:44" s="74" customFormat="1" ht="25.5" hidden="1" customHeight="1" x14ac:dyDescent="0.25">
      <c r="A123" s="78"/>
      <c r="D123" s="77"/>
      <c r="G123" s="77"/>
      <c r="J123" s="77"/>
      <c r="K123" s="77"/>
      <c r="N123" s="77"/>
      <c r="Q123" s="77"/>
      <c r="T123" s="77"/>
      <c r="W123" s="77"/>
      <c r="Z123" s="77"/>
      <c r="AC123" s="77"/>
      <c r="AF123" s="77"/>
    </row>
    <row r="124" spans="1:44" s="74" customFormat="1" ht="12.75" hidden="1" customHeight="1" x14ac:dyDescent="0.25">
      <c r="A124" s="74" t="s">
        <v>60</v>
      </c>
      <c r="B124" s="74">
        <f>IF(B116=1,B110,0)</f>
        <v>22</v>
      </c>
      <c r="D124" s="77">
        <f t="shared" ref="D124:E128" si="10">IF(D116=1,D110,0)</f>
        <v>0</v>
      </c>
      <c r="E124" s="74">
        <f t="shared" si="10"/>
        <v>24</v>
      </c>
      <c r="G124" s="77">
        <f t="shared" ref="G124:H128" si="11">IF(G116=1,G110,0)</f>
        <v>0</v>
      </c>
      <c r="H124" s="74">
        <f t="shared" si="11"/>
        <v>0</v>
      </c>
      <c r="J124" s="77">
        <f>IF(J116=1,J110,0)</f>
        <v>25</v>
      </c>
      <c r="K124" s="77"/>
      <c r="L124" s="74">
        <f>IF(L116=1,L110,0)</f>
        <v>24</v>
      </c>
      <c r="N124" s="77">
        <f t="shared" ref="N124:O128" si="12">IF(N116=1,N110,0)</f>
        <v>0</v>
      </c>
      <c r="O124" s="74">
        <f t="shared" si="12"/>
        <v>21</v>
      </c>
      <c r="Q124" s="77">
        <f t="shared" ref="Q124:R128" si="13">IF(Q116=1,Q110,0)</f>
        <v>0</v>
      </c>
      <c r="R124" s="74">
        <f t="shared" si="13"/>
        <v>0</v>
      </c>
      <c r="T124" s="77">
        <f t="shared" ref="T124:U128" si="14">IF(T116=1,T110,0)</f>
        <v>22</v>
      </c>
      <c r="U124" s="74">
        <f t="shared" si="14"/>
        <v>0</v>
      </c>
      <c r="W124" s="77">
        <f t="shared" ref="W124:X128" si="15">IF(W116=1,W110,0)</f>
        <v>0</v>
      </c>
      <c r="X124" s="74">
        <f t="shared" si="15"/>
        <v>0</v>
      </c>
      <c r="Z124" s="77">
        <f t="shared" ref="Z124:AA128" si="16">IF(Z116=1,Z110,0)</f>
        <v>0</v>
      </c>
      <c r="AA124" s="74">
        <f t="shared" si="16"/>
        <v>0</v>
      </c>
      <c r="AC124" s="77">
        <f t="shared" ref="AC124:AD128" si="17">IF(AC116=1,AC110,0)</f>
        <v>0</v>
      </c>
      <c r="AD124" s="74">
        <f t="shared" si="17"/>
        <v>0</v>
      </c>
      <c r="AF124" s="77">
        <f>IF(AF116=1,AF110,0)</f>
        <v>0</v>
      </c>
    </row>
    <row r="125" spans="1:44" s="74" customFormat="1" ht="12.75" hidden="1" customHeight="1" x14ac:dyDescent="0.25">
      <c r="A125" s="74" t="s">
        <v>61</v>
      </c>
      <c r="B125" s="74">
        <f>IF(B117=1,B111,0)</f>
        <v>0</v>
      </c>
      <c r="D125" s="77">
        <f t="shared" si="10"/>
        <v>0</v>
      </c>
      <c r="E125" s="74">
        <f t="shared" si="10"/>
        <v>0</v>
      </c>
      <c r="G125" s="77">
        <f t="shared" si="11"/>
        <v>0</v>
      </c>
      <c r="H125" s="74">
        <f t="shared" si="11"/>
        <v>0</v>
      </c>
      <c r="J125" s="77">
        <f>IF(J117=1,J111,0)</f>
        <v>0</v>
      </c>
      <c r="K125" s="77"/>
      <c r="L125" s="74">
        <f>IF(L117=1,L111,0)</f>
        <v>0</v>
      </c>
      <c r="N125" s="77">
        <f t="shared" si="12"/>
        <v>0</v>
      </c>
      <c r="O125" s="74">
        <f t="shared" si="12"/>
        <v>0</v>
      </c>
      <c r="Q125" s="77">
        <f t="shared" si="13"/>
        <v>0</v>
      </c>
      <c r="R125" s="74">
        <f t="shared" si="13"/>
        <v>0</v>
      </c>
      <c r="T125" s="77">
        <f t="shared" si="14"/>
        <v>0</v>
      </c>
      <c r="U125" s="74">
        <f t="shared" si="14"/>
        <v>0</v>
      </c>
      <c r="W125" s="77">
        <f t="shared" si="15"/>
        <v>0</v>
      </c>
      <c r="X125" s="74">
        <f t="shared" si="15"/>
        <v>0</v>
      </c>
      <c r="Z125" s="77">
        <f t="shared" si="16"/>
        <v>0</v>
      </c>
      <c r="AA125" s="74">
        <f t="shared" si="16"/>
        <v>0</v>
      </c>
      <c r="AC125" s="77">
        <f t="shared" si="17"/>
        <v>0</v>
      </c>
      <c r="AD125" s="74">
        <f t="shared" si="17"/>
        <v>0</v>
      </c>
      <c r="AF125" s="77">
        <f>IF(AF117=1,AF111,0)</f>
        <v>0</v>
      </c>
    </row>
    <row r="126" spans="1:44" s="74" customFormat="1" ht="12.75" hidden="1" customHeight="1" x14ac:dyDescent="0.25">
      <c r="A126" s="74" t="s">
        <v>62</v>
      </c>
      <c r="B126" s="74">
        <f>IF(B118=1,B112,0)</f>
        <v>0</v>
      </c>
      <c r="D126" s="77">
        <f t="shared" si="10"/>
        <v>0</v>
      </c>
      <c r="E126" s="74">
        <f t="shared" si="10"/>
        <v>0</v>
      </c>
      <c r="G126" s="77">
        <f t="shared" si="11"/>
        <v>0</v>
      </c>
      <c r="H126" s="74">
        <f t="shared" si="11"/>
        <v>0</v>
      </c>
      <c r="J126" s="77">
        <f>IF(J118=1,J112,0)</f>
        <v>0</v>
      </c>
      <c r="K126" s="77"/>
      <c r="L126" s="74">
        <f>IF(L118=1,L112,0)</f>
        <v>0</v>
      </c>
      <c r="N126" s="77">
        <f t="shared" si="12"/>
        <v>0</v>
      </c>
      <c r="O126" s="74">
        <f t="shared" si="12"/>
        <v>0</v>
      </c>
      <c r="Q126" s="77">
        <f t="shared" si="13"/>
        <v>0</v>
      </c>
      <c r="R126" s="74">
        <f t="shared" si="13"/>
        <v>0</v>
      </c>
      <c r="T126" s="77">
        <f t="shared" si="14"/>
        <v>0</v>
      </c>
      <c r="U126" s="74">
        <f t="shared" si="14"/>
        <v>0</v>
      </c>
      <c r="W126" s="77">
        <f t="shared" si="15"/>
        <v>0</v>
      </c>
      <c r="X126" s="74">
        <f t="shared" si="15"/>
        <v>0</v>
      </c>
      <c r="Z126" s="77">
        <f t="shared" si="16"/>
        <v>0</v>
      </c>
      <c r="AA126" s="74">
        <f t="shared" si="16"/>
        <v>0</v>
      </c>
      <c r="AC126" s="77">
        <f t="shared" si="17"/>
        <v>0</v>
      </c>
      <c r="AD126" s="74">
        <f t="shared" si="17"/>
        <v>0</v>
      </c>
      <c r="AF126" s="77">
        <f>IF(AF118=1,AF112,0)</f>
        <v>0</v>
      </c>
    </row>
    <row r="127" spans="1:44" s="74" customFormat="1" ht="12.75" hidden="1" customHeight="1" x14ac:dyDescent="0.25">
      <c r="A127" s="74" t="s">
        <v>63</v>
      </c>
      <c r="B127" s="74">
        <f>IF(B119=1,B113,0)</f>
        <v>0</v>
      </c>
      <c r="D127" s="77">
        <f t="shared" si="10"/>
        <v>0</v>
      </c>
      <c r="E127" s="74">
        <f t="shared" si="10"/>
        <v>0</v>
      </c>
      <c r="G127" s="77">
        <f t="shared" si="11"/>
        <v>0</v>
      </c>
      <c r="H127" s="74">
        <f t="shared" si="11"/>
        <v>0</v>
      </c>
      <c r="J127" s="77">
        <f>IF(J119=1,J113,0)</f>
        <v>0</v>
      </c>
      <c r="K127" s="77"/>
      <c r="L127" s="74">
        <f>IF(L119=1,L113,0)</f>
        <v>0</v>
      </c>
      <c r="N127" s="77">
        <f t="shared" si="12"/>
        <v>0</v>
      </c>
      <c r="O127" s="74">
        <f t="shared" si="12"/>
        <v>0</v>
      </c>
      <c r="Q127" s="77">
        <f t="shared" si="13"/>
        <v>0</v>
      </c>
      <c r="R127" s="74">
        <f t="shared" si="13"/>
        <v>0</v>
      </c>
      <c r="T127" s="77">
        <f t="shared" si="14"/>
        <v>0</v>
      </c>
      <c r="U127" s="74">
        <f t="shared" si="14"/>
        <v>0</v>
      </c>
      <c r="W127" s="77">
        <f t="shared" si="15"/>
        <v>0</v>
      </c>
      <c r="X127" s="74">
        <f t="shared" si="15"/>
        <v>0</v>
      </c>
      <c r="Z127" s="77">
        <f t="shared" si="16"/>
        <v>0</v>
      </c>
      <c r="AA127" s="74">
        <f t="shared" si="16"/>
        <v>0</v>
      </c>
      <c r="AC127" s="77">
        <f t="shared" si="17"/>
        <v>0</v>
      </c>
      <c r="AD127" s="74">
        <f t="shared" si="17"/>
        <v>0</v>
      </c>
      <c r="AF127" s="77">
        <f>IF(AF119=1,AF113,0)</f>
        <v>0</v>
      </c>
    </row>
    <row r="128" spans="1:44" s="74" customFormat="1" ht="12.75" hidden="1" customHeight="1" x14ac:dyDescent="0.25">
      <c r="A128" s="74" t="s">
        <v>64</v>
      </c>
      <c r="B128" s="74">
        <f>IF(B120=1,B114,0)</f>
        <v>0</v>
      </c>
      <c r="D128" s="77">
        <f t="shared" si="10"/>
        <v>0</v>
      </c>
      <c r="E128" s="74">
        <f t="shared" si="10"/>
        <v>0</v>
      </c>
      <c r="G128" s="77">
        <f t="shared" si="11"/>
        <v>0</v>
      </c>
      <c r="H128" s="74">
        <f t="shared" si="11"/>
        <v>0</v>
      </c>
      <c r="J128" s="77">
        <f>IF(J120=1,J114,0)</f>
        <v>0</v>
      </c>
      <c r="K128" s="77"/>
      <c r="L128" s="74">
        <f>IF(L120=1,L114,0)</f>
        <v>0</v>
      </c>
      <c r="N128" s="77">
        <f t="shared" si="12"/>
        <v>0</v>
      </c>
      <c r="O128" s="74">
        <f t="shared" si="12"/>
        <v>0</v>
      </c>
      <c r="Q128" s="77">
        <f t="shared" si="13"/>
        <v>0</v>
      </c>
      <c r="R128" s="74">
        <f t="shared" si="13"/>
        <v>0</v>
      </c>
      <c r="T128" s="77">
        <f t="shared" si="14"/>
        <v>0</v>
      </c>
      <c r="U128" s="74">
        <f t="shared" si="14"/>
        <v>0</v>
      </c>
      <c r="W128" s="77">
        <f t="shared" si="15"/>
        <v>0</v>
      </c>
      <c r="X128" s="74">
        <f t="shared" si="15"/>
        <v>0</v>
      </c>
      <c r="Z128" s="77">
        <f t="shared" si="16"/>
        <v>0</v>
      </c>
      <c r="AA128" s="74">
        <f t="shared" si="16"/>
        <v>0</v>
      </c>
      <c r="AC128" s="77">
        <f t="shared" si="17"/>
        <v>0</v>
      </c>
      <c r="AD128" s="74">
        <f t="shared" si="17"/>
        <v>0</v>
      </c>
      <c r="AF128" s="77">
        <f>IF(AF120=1,AF114,0)</f>
        <v>0</v>
      </c>
    </row>
    <row r="129" spans="1:38" s="74" customFormat="1" ht="38.25" hidden="1" customHeight="1" x14ac:dyDescent="0.25">
      <c r="A129" s="78" t="s">
        <v>65</v>
      </c>
      <c r="B129" s="74">
        <f>SUM(B124:D128)</f>
        <v>22</v>
      </c>
      <c r="D129" s="77"/>
      <c r="E129" s="74">
        <f>SUM(E124:G128)</f>
        <v>24</v>
      </c>
      <c r="G129" s="77"/>
      <c r="H129" s="74">
        <f>SUM(H124:J128)</f>
        <v>25</v>
      </c>
      <c r="J129" s="77"/>
      <c r="K129" s="77"/>
      <c r="L129" s="74">
        <f>SUM(L124:N128)</f>
        <v>24</v>
      </c>
      <c r="N129" s="77"/>
      <c r="O129" s="74">
        <f>SUM(O124:Q128)</f>
        <v>21</v>
      </c>
      <c r="Q129" s="77"/>
      <c r="R129" s="74">
        <f>SUM(R124:T128)</f>
        <v>22</v>
      </c>
      <c r="T129" s="77"/>
      <c r="U129" s="74">
        <f>SUM(U124:W128)</f>
        <v>0</v>
      </c>
      <c r="W129" s="77"/>
      <c r="X129" s="74">
        <f>SUM(X124:Z128)</f>
        <v>0</v>
      </c>
      <c r="Z129" s="77"/>
      <c r="AA129" s="74">
        <f>SUM(AA124:AC128)</f>
        <v>0</v>
      </c>
      <c r="AC129" s="77"/>
      <c r="AD129" s="74">
        <f>SUM(AD124:AF128)</f>
        <v>0</v>
      </c>
      <c r="AF129" s="77"/>
    </row>
    <row r="130" spans="1:38" s="74" customFormat="1" ht="38.25" hidden="1" customHeight="1" x14ac:dyDescent="0.25">
      <c r="A130" s="74" t="s">
        <v>66</v>
      </c>
      <c r="D130" s="77"/>
      <c r="G130" s="77"/>
      <c r="J130" s="77"/>
      <c r="K130" s="77"/>
      <c r="N130" s="77"/>
      <c r="Q130" s="77"/>
      <c r="T130" s="77"/>
      <c r="W130" s="77"/>
      <c r="Z130" s="77"/>
      <c r="AC130" s="77"/>
      <c r="AF130" s="77"/>
      <c r="AG130" s="78" t="s">
        <v>67</v>
      </c>
      <c r="AH130" s="74" t="s">
        <v>68</v>
      </c>
    </row>
    <row r="131" spans="1:38" s="74" customFormat="1" ht="12.75" hidden="1" customHeight="1" x14ac:dyDescent="0.25">
      <c r="A131" s="74" t="s">
        <v>69</v>
      </c>
      <c r="B131" s="74">
        <f>IF(B109=1,IF(B122=1,1,0),0)</f>
        <v>1</v>
      </c>
      <c r="D131" s="77">
        <f>IF(D109=1,IF(D122=1,1,0),0)</f>
        <v>0</v>
      </c>
      <c r="E131" s="74">
        <f>IF(E109=1,IF(E122=1,1,0),0)</f>
        <v>0</v>
      </c>
      <c r="G131" s="77">
        <f>IF(G109=1,IF(G122=1,1,0),0)</f>
        <v>0</v>
      </c>
      <c r="H131" s="74">
        <f>IF(H109=1,IF(H122=1,1,0),0)</f>
        <v>0</v>
      </c>
      <c r="J131" s="77">
        <f>IF(J109=1,IF(J122=1,1,0),0)</f>
        <v>0</v>
      </c>
      <c r="K131" s="77"/>
      <c r="L131" s="74">
        <f>IF(L109=1,IF(L122=1,1,0),0)</f>
        <v>1</v>
      </c>
      <c r="N131" s="77">
        <f>IF(N109=1,IF(N122=1,1,0),0)</f>
        <v>0</v>
      </c>
      <c r="O131" s="74">
        <f>IF(O109=1,IF(O122=1,1,0),0)</f>
        <v>0</v>
      </c>
      <c r="Q131" s="77">
        <f>IF(Q109=1,IF(Q122=1,1,0),0)</f>
        <v>0</v>
      </c>
      <c r="R131" s="74">
        <f>IF(R109=1,IF(R122=1,1,0),0)</f>
        <v>0</v>
      </c>
      <c r="T131" s="77">
        <f>IF(T109=1,IF(T122=1,1,0),0)</f>
        <v>0</v>
      </c>
      <c r="U131" s="74">
        <f>IF(U109=1,IF(U122=1,1,0),0)</f>
        <v>0</v>
      </c>
      <c r="W131" s="77">
        <f>IF(W109=1,IF(W122=1,1,0),0)</f>
        <v>0</v>
      </c>
      <c r="X131" s="74">
        <f>IF(X109=1,IF(X122=1,1,0),0)</f>
        <v>0</v>
      </c>
      <c r="Z131" s="77">
        <f>IF(Z109=1,IF(Z122=1,1,0),0)</f>
        <v>0</v>
      </c>
      <c r="AA131" s="74">
        <f>IF(AA109=1,IF(AA122=1,1,0),0)</f>
        <v>0</v>
      </c>
      <c r="AC131" s="77">
        <f>IF(AC109=1,IF(AC122=1,1,0),0)</f>
        <v>0</v>
      </c>
      <c r="AD131" s="74">
        <f>IF(AD109=1,IF(AD122=1,1,0),0)</f>
        <v>0</v>
      </c>
      <c r="AF131" s="77">
        <f>IF(AF109=1,IF(AF122=1,1,0),0)</f>
        <v>0</v>
      </c>
      <c r="AG131" s="74">
        <f>SUM(B131:AF131)</f>
        <v>2</v>
      </c>
      <c r="AH131" s="74">
        <f>AG137-AG131</f>
        <v>2</v>
      </c>
    </row>
    <row r="132" spans="1:38" s="74" customFormat="1" ht="12.75" hidden="1" customHeight="1" x14ac:dyDescent="0.25">
      <c r="A132" s="74" t="s">
        <v>70</v>
      </c>
      <c r="B132" s="74">
        <f>IF(B109=2,IF(B122=1,1,0),0)</f>
        <v>0</v>
      </c>
      <c r="D132" s="77">
        <f>IF(D109=2,IF(D122=1,1,0),0)</f>
        <v>0</v>
      </c>
      <c r="E132" s="74">
        <f>IF(E109=2,IF(E122=1,1,0),0)</f>
        <v>1</v>
      </c>
      <c r="G132" s="77">
        <f>IF(G109=2,IF(G122=1,1,0),0)</f>
        <v>0</v>
      </c>
      <c r="H132" s="74">
        <f>IF(H109=2,IF(H122=1,1,0),0)</f>
        <v>0</v>
      </c>
      <c r="J132" s="77">
        <f>IF(J109=2,IF(J122=1,1,0),0)</f>
        <v>1</v>
      </c>
      <c r="K132" s="77"/>
      <c r="L132" s="74">
        <f>IF(L109=2,IF(L122=1,1,0),0)</f>
        <v>0</v>
      </c>
      <c r="N132" s="77">
        <f>IF(N109=2,IF(N122=1,1,0),0)</f>
        <v>0</v>
      </c>
      <c r="O132" s="74">
        <f>IF(O109=2,IF(O122=1,1,0),0)</f>
        <v>1</v>
      </c>
      <c r="Q132" s="77">
        <f>IF(Q109=2,IF(Q122=1,1,0),0)</f>
        <v>0</v>
      </c>
      <c r="R132" s="74">
        <f>IF(R109=2,IF(R122=1,1,0),0)</f>
        <v>0</v>
      </c>
      <c r="T132" s="77">
        <f>IF(T109=2,IF(T122=1,1,0),0)</f>
        <v>1</v>
      </c>
      <c r="U132" s="74">
        <f>IF(U109=2,IF(U122=1,1,0),0)</f>
        <v>0</v>
      </c>
      <c r="W132" s="77">
        <f>IF(W109=2,IF(W122=1,1,0),0)</f>
        <v>0</v>
      </c>
      <c r="X132" s="74">
        <f>IF(X109=2,IF(X122=1,1,0),0)</f>
        <v>0</v>
      </c>
      <c r="Z132" s="77">
        <f>IF(Z109=2,IF(Z122=1,1,0),0)</f>
        <v>0</v>
      </c>
      <c r="AA132" s="74">
        <f>IF(AA109=2,IF(AA122=1,1,0),0)</f>
        <v>0</v>
      </c>
      <c r="AC132" s="77">
        <f>IF(AC109=2,IF(AC122=1,1,0),0)</f>
        <v>0</v>
      </c>
      <c r="AD132" s="74">
        <f>IF(AD109=2,IF(AD122=1,1,0),0)</f>
        <v>0</v>
      </c>
      <c r="AF132" s="77">
        <f>IF(AF109=2,IF(AF122=1,1,0),0)</f>
        <v>0</v>
      </c>
      <c r="AG132" s="74">
        <f>SUM(B132:AF132)</f>
        <v>4</v>
      </c>
      <c r="AH132" s="74">
        <f>AG138-AG132</f>
        <v>0</v>
      </c>
    </row>
    <row r="133" spans="1:38" s="74" customFormat="1" ht="12.75" hidden="1" customHeight="1" x14ac:dyDescent="0.25">
      <c r="A133" s="74" t="s">
        <v>71</v>
      </c>
      <c r="B133" s="74">
        <f>IF(B109=3,IF(B122=1,1,0),0)</f>
        <v>0</v>
      </c>
      <c r="D133" s="77">
        <f>IF(D109=3,IF(D122=1,1,0),0)</f>
        <v>0</v>
      </c>
      <c r="E133" s="74">
        <f>IF(E109=3,IF(E122=1,1,0),0)</f>
        <v>0</v>
      </c>
      <c r="G133" s="77">
        <f>IF(G109=3,IF(G122=1,1,0),0)</f>
        <v>0</v>
      </c>
      <c r="H133" s="74">
        <f>IF(H109=3,IF(H122=1,1,0),0)</f>
        <v>0</v>
      </c>
      <c r="J133" s="77">
        <f>IF(J109=3,IF(J122=1,1,0),0)</f>
        <v>0</v>
      </c>
      <c r="K133" s="77"/>
      <c r="L133" s="74">
        <f>IF(L109=3,IF(L122=1,1,0),0)</f>
        <v>0</v>
      </c>
      <c r="N133" s="77">
        <f>IF(N109=3,IF(N122=1,1,0),0)</f>
        <v>0</v>
      </c>
      <c r="O133" s="74">
        <f>IF(O109=3,IF(O122=1,1,0),0)</f>
        <v>0</v>
      </c>
      <c r="Q133" s="77">
        <f>IF(Q109=3,IF(Q122=1,1,0),0)</f>
        <v>0</v>
      </c>
      <c r="R133" s="74">
        <f>IF(R109=3,IF(R122=1,1,0),0)</f>
        <v>0</v>
      </c>
      <c r="T133" s="77">
        <f>IF(T109=3,IF(T122=1,1,0),0)</f>
        <v>0</v>
      </c>
      <c r="U133" s="74">
        <f>IF(U109=3,IF(U122=1,1,0),0)</f>
        <v>0</v>
      </c>
      <c r="W133" s="77">
        <f>IF(W109=3,IF(W122=1,1,0),0)</f>
        <v>0</v>
      </c>
      <c r="X133" s="74">
        <f>IF(X109=3,IF(X122=1,1,0),0)</f>
        <v>0</v>
      </c>
      <c r="Z133" s="77">
        <f>IF(Z109=3,IF(Z122=1,1,0),0)</f>
        <v>0</v>
      </c>
      <c r="AA133" s="74">
        <f>IF(AA109=3,IF(AA122=1,1,0),0)</f>
        <v>0</v>
      </c>
      <c r="AC133" s="77">
        <f>IF(AC109=3,IF(AC122=1,1,0),0)</f>
        <v>0</v>
      </c>
      <c r="AD133" s="74">
        <f>IF(AD109=3,IF(AD122=1,1,0),0)</f>
        <v>0</v>
      </c>
      <c r="AF133" s="77">
        <f>IF(AF109=3,IF(AF122=1,1,0),0)</f>
        <v>0</v>
      </c>
      <c r="AG133" s="74">
        <f>SUM(B133:AF133)</f>
        <v>0</v>
      </c>
      <c r="AH133" s="74">
        <f>AG139-AG133</f>
        <v>4</v>
      </c>
    </row>
    <row r="134" spans="1:38" s="74" customFormat="1" ht="12.75" hidden="1" customHeight="1" x14ac:dyDescent="0.25">
      <c r="A134" s="74" t="s">
        <v>72</v>
      </c>
      <c r="B134" s="74">
        <f>IF(B109=4,IF(B122=1,1,0),0)</f>
        <v>0</v>
      </c>
      <c r="D134" s="77">
        <f>IF(D109=4,IF(D122=1,1,0),0)</f>
        <v>0</v>
      </c>
      <c r="E134" s="74">
        <f>IF(E109=4,IF(E122=1,1,0),0)</f>
        <v>0</v>
      </c>
      <c r="G134" s="77">
        <f>IF(G109=4,IF(G122=1,1,0),0)</f>
        <v>0</v>
      </c>
      <c r="H134" s="74">
        <f>IF(H109=4,IF(H122=1,1,0),0)</f>
        <v>0</v>
      </c>
      <c r="J134" s="77">
        <f>IF(J109=4,IF(J122=1,1,0),0)</f>
        <v>0</v>
      </c>
      <c r="K134" s="77"/>
      <c r="L134" s="74">
        <f>IF(L109=4,IF(L122=1,1,0),0)</f>
        <v>0</v>
      </c>
      <c r="N134" s="77">
        <f>IF(N109=4,IF(N122=1,1,0),0)</f>
        <v>0</v>
      </c>
      <c r="O134" s="74">
        <f>IF(O109=4,IF(O122=1,1,0),0)</f>
        <v>0</v>
      </c>
      <c r="Q134" s="77">
        <f>IF(Q109=4,IF(Q122=1,1,0),0)</f>
        <v>0</v>
      </c>
      <c r="R134" s="74">
        <f>IF(R109=4,IF(R122=1,1,0),0)</f>
        <v>0</v>
      </c>
      <c r="T134" s="77">
        <f>IF(T109=4,IF(T122=1,1,0),0)</f>
        <v>0</v>
      </c>
      <c r="U134" s="74">
        <f>IF(U109=4,IF(U122=1,1,0),0)</f>
        <v>0</v>
      </c>
      <c r="W134" s="77">
        <f>IF(W109=4,IF(W122=1,1,0),0)</f>
        <v>0</v>
      </c>
      <c r="X134" s="74">
        <f>IF(X109=4,IF(X122=1,1,0),0)</f>
        <v>0</v>
      </c>
      <c r="Z134" s="77">
        <f>IF(Z109=4,IF(Z122=1,1,0),0)</f>
        <v>0</v>
      </c>
      <c r="AA134" s="74">
        <f>IF(AA109=4,IF(AA122=1,1,0),0)</f>
        <v>0</v>
      </c>
      <c r="AC134" s="77">
        <f>IF(AC109=4,IF(AC122=1,1,0),0)</f>
        <v>0</v>
      </c>
      <c r="AD134" s="74">
        <f>IF(AD109=4,IF(AD122=1,1,0),0)</f>
        <v>0</v>
      </c>
      <c r="AF134" s="77">
        <f>IF(AF109=4,IF(AF122=1,1,0),0)</f>
        <v>0</v>
      </c>
      <c r="AG134" s="74">
        <f>SUM(B134:AF134)</f>
        <v>0</v>
      </c>
      <c r="AH134" s="74">
        <f>AG140-AG134</f>
        <v>0</v>
      </c>
    </row>
    <row r="135" spans="1:38" s="74" customFormat="1" ht="12.75" hidden="1" customHeight="1" x14ac:dyDescent="0.25">
      <c r="A135" s="74" t="s">
        <v>73</v>
      </c>
      <c r="B135" s="74">
        <f>IF(B109=5,IF(B122=1,1,0),0)</f>
        <v>0</v>
      </c>
      <c r="D135" s="77">
        <f>IF(D109=5,IF(D122=1,1,0),0)</f>
        <v>0</v>
      </c>
      <c r="E135" s="74">
        <f>IF(E109=5,IF(E122=1,1,0),0)</f>
        <v>0</v>
      </c>
      <c r="G135" s="77">
        <f>IF(G109=5,IF(G122=1,1,0),0)</f>
        <v>0</v>
      </c>
      <c r="H135" s="74">
        <f>IF(H109=5,IF(H122=1,1,0),0)</f>
        <v>0</v>
      </c>
      <c r="J135" s="77">
        <f>IF(J109=5,IF(J122=1,1,0),0)</f>
        <v>0</v>
      </c>
      <c r="K135" s="77"/>
      <c r="L135" s="74">
        <f>IF(L109=5,IF(L122=1,1,0),0)</f>
        <v>0</v>
      </c>
      <c r="N135" s="77">
        <f>IF(N109=5,IF(N122=1,1,0),0)</f>
        <v>0</v>
      </c>
      <c r="O135" s="74">
        <f>IF(O109=5,IF(O122=1,1,0),0)</f>
        <v>0</v>
      </c>
      <c r="Q135" s="77">
        <f>IF(Q109=5,IF(Q122=1,1,0),0)</f>
        <v>0</v>
      </c>
      <c r="R135" s="74">
        <f>IF(R109=5,IF(R122=1,1,0),0)</f>
        <v>0</v>
      </c>
      <c r="T135" s="77">
        <f>IF(T109=5,IF(T122=1,1,0),0)</f>
        <v>0</v>
      </c>
      <c r="U135" s="74">
        <f>IF(U109=5,IF(U122=1,1,0),0)</f>
        <v>0</v>
      </c>
      <c r="W135" s="77">
        <f>IF(W109=5,IF(W122=1,1,0),0)</f>
        <v>0</v>
      </c>
      <c r="X135" s="74">
        <f>IF(X109=5,IF(X122=1,1,0),0)</f>
        <v>0</v>
      </c>
      <c r="Z135" s="77">
        <f>IF(Z109=5,IF(Z122=1,1,0),0)</f>
        <v>0</v>
      </c>
      <c r="AA135" s="74">
        <f>IF(AA109=5,IF(AA122=1,1,0),0)</f>
        <v>0</v>
      </c>
      <c r="AC135" s="77">
        <f>IF(AC109=5,IF(AC122=1,1,0),0)</f>
        <v>0</v>
      </c>
      <c r="AD135" s="74">
        <f>IF(AD109=5,IF(AD122=1,1,0),0)</f>
        <v>0</v>
      </c>
      <c r="AF135" s="77">
        <f>IF(AF109=5,IF(AF122=1,1,0),0)</f>
        <v>0</v>
      </c>
      <c r="AG135" s="74">
        <f>SUM(B135:AF135)</f>
        <v>0</v>
      </c>
      <c r="AH135" s="74">
        <f>AG141-AG135</f>
        <v>0</v>
      </c>
    </row>
    <row r="136" spans="1:38" s="74" customFormat="1" ht="38.25" hidden="1" customHeight="1" x14ac:dyDescent="0.25">
      <c r="A136" s="78"/>
      <c r="D136" s="77"/>
      <c r="G136" s="77"/>
      <c r="J136" s="77"/>
      <c r="K136" s="77"/>
      <c r="N136" s="77"/>
      <c r="Q136" s="77"/>
      <c r="T136" s="77"/>
      <c r="W136" s="77"/>
      <c r="Z136" s="77"/>
      <c r="AC136" s="77"/>
      <c r="AF136" s="77"/>
      <c r="AG136" s="78" t="s">
        <v>74</v>
      </c>
    </row>
    <row r="137" spans="1:38" s="74" customFormat="1" ht="12.75" hidden="1" customHeight="1" x14ac:dyDescent="0.25">
      <c r="A137" s="74" t="s">
        <v>75</v>
      </c>
      <c r="B137" s="74">
        <f>IF(B109=1,IF(C122=1,1,0),0)</f>
        <v>1</v>
      </c>
      <c r="D137" s="77">
        <f>IF(D109=1,IF(C122=1,1,0),0)</f>
        <v>0</v>
      </c>
      <c r="E137" s="74">
        <f>IF(E109=1,IF(F122=1,1,0),0)</f>
        <v>0</v>
      </c>
      <c r="G137" s="77">
        <f>IF(G109=1,IF(F122=1,1,0),0)</f>
        <v>0</v>
      </c>
      <c r="H137" s="74">
        <f>IF(H109=1,IF(I122=1,1,0),0)</f>
        <v>1</v>
      </c>
      <c r="J137" s="77">
        <f>IF(J109=1,IF(I122=1,1,0),0)</f>
        <v>0</v>
      </c>
      <c r="K137" s="77"/>
      <c r="L137" s="74">
        <f>IF(L109=1,IF(M122=1,1,0),0)</f>
        <v>1</v>
      </c>
      <c r="N137" s="77">
        <f>IF(N109=1,IF(M122=1,1,0),0)</f>
        <v>0</v>
      </c>
      <c r="O137" s="74">
        <f>IF(O109=1,IF(P122=1,1,0),0)</f>
        <v>0</v>
      </c>
      <c r="Q137" s="77">
        <f>IF(Q109=1,IF(P122=1,1,0),0)</f>
        <v>0</v>
      </c>
      <c r="R137" s="74">
        <f>IF(R109=1,IF(S122=1,1,0),0)</f>
        <v>1</v>
      </c>
      <c r="T137" s="77">
        <f>IF(T109=1,IF(S122=1,1,0),0)</f>
        <v>0</v>
      </c>
      <c r="U137" s="74">
        <f>IF(U109=1,IF(V122=1,1,0),0)</f>
        <v>0</v>
      </c>
      <c r="W137" s="77">
        <f>IF(W109=1,IF(V122=1,1,0),0)</f>
        <v>0</v>
      </c>
      <c r="X137" s="74">
        <f>IF(X109=1,IF(Y122=1,1,0),0)</f>
        <v>0</v>
      </c>
      <c r="Z137" s="77">
        <f>IF(Z109=1,IF(Y122=1,1,0),0)</f>
        <v>0</v>
      </c>
      <c r="AA137" s="74">
        <f>IF(AA109=1,IF(AB122=1,1,0),0)</f>
        <v>0</v>
      </c>
      <c r="AC137" s="77">
        <f>IF(AC109=1,IF(AB122=1,1,0),0)</f>
        <v>0</v>
      </c>
      <c r="AD137" s="74">
        <f>IF(AD109=1,IF(AE122=1,1,0),0)</f>
        <v>0</v>
      </c>
      <c r="AF137" s="77">
        <f>IF(AF109=1,IF(AE122=1,1,0),0)</f>
        <v>0</v>
      </c>
      <c r="AG137" s="74">
        <f>SUM(B137:AF137)</f>
        <v>4</v>
      </c>
    </row>
    <row r="138" spans="1:38" s="74" customFormat="1" ht="12.75" hidden="1" customHeight="1" x14ac:dyDescent="0.25">
      <c r="A138" s="74" t="s">
        <v>76</v>
      </c>
      <c r="B138" s="74">
        <f>IF(B109=2,IF(C122=1,1,0),0)</f>
        <v>0</v>
      </c>
      <c r="D138" s="77">
        <f>IF(D109=2,IF(C122=1,1,0),0)</f>
        <v>0</v>
      </c>
      <c r="E138" s="74">
        <f>IF(E109=2,IF(F122=1,1,0),0)</f>
        <v>1</v>
      </c>
      <c r="G138" s="77">
        <f>IF(G109=2,IF(F122=1,1,0),0)</f>
        <v>0</v>
      </c>
      <c r="H138" s="74">
        <f>IF(H109=2,IF(I122=1,1,0),0)</f>
        <v>0</v>
      </c>
      <c r="J138" s="77">
        <f>IF(J109=2,IF(I122=1,1,0),0)</f>
        <v>1</v>
      </c>
      <c r="K138" s="77"/>
      <c r="L138" s="74">
        <f>IF(L109=2,IF(M122=1,1,0),0)</f>
        <v>0</v>
      </c>
      <c r="N138" s="77">
        <f>IF(N109=2,IF(M122=1,1,0),0)</f>
        <v>0</v>
      </c>
      <c r="O138" s="74">
        <f>IF(O109=2,IF(P122=1,1,0),0)</f>
        <v>1</v>
      </c>
      <c r="Q138" s="77">
        <f>IF(Q109=2,IF(P122=1,1,0),0)</f>
        <v>0</v>
      </c>
      <c r="R138" s="74">
        <f>IF(R109=2,IF(S122=1,1,0),0)</f>
        <v>0</v>
      </c>
      <c r="T138" s="77">
        <f>IF(T109=2,IF(S122=1,1,0),0)</f>
        <v>1</v>
      </c>
      <c r="U138" s="74">
        <f>IF(U109=2,IF(V122=1,1,0),0)</f>
        <v>0</v>
      </c>
      <c r="W138" s="77">
        <f>IF(W109=2,IF(V122=1,1,0),0)</f>
        <v>0</v>
      </c>
      <c r="X138" s="74">
        <f>IF(X109=2,IF(Y122=1,1,0),0)</f>
        <v>0</v>
      </c>
      <c r="Z138" s="77">
        <f>IF(Z109=2,IF(Y122=1,1,0),0)</f>
        <v>0</v>
      </c>
      <c r="AA138" s="74">
        <f>IF(AA109=2,IF(AB122=1,1,0),0)</f>
        <v>0</v>
      </c>
      <c r="AC138" s="77">
        <f>IF(AC109=2,IF(AB122=1,1,0),0)</f>
        <v>0</v>
      </c>
      <c r="AD138" s="74">
        <f>IF(AD109=2,IF(AE122=1,1,0),0)</f>
        <v>0</v>
      </c>
      <c r="AF138" s="77">
        <f>IF(AF109=2,IF(AE122=1,1,0),0)</f>
        <v>0</v>
      </c>
      <c r="AG138" s="74">
        <f>SUM(B138:AF138)</f>
        <v>4</v>
      </c>
    </row>
    <row r="139" spans="1:38" s="74" customFormat="1" ht="12.75" hidden="1" customHeight="1" x14ac:dyDescent="0.25">
      <c r="A139" s="74" t="s">
        <v>77</v>
      </c>
      <c r="B139" s="74">
        <f>IF(B109=3,IF(C122=1,1,0),0)</f>
        <v>0</v>
      </c>
      <c r="D139" s="77">
        <f>IF(D109=3,IF(C122=1,1,0),0)</f>
        <v>1</v>
      </c>
      <c r="E139" s="74">
        <f>IF(E109=3,IF(F122=1,1,0),0)</f>
        <v>0</v>
      </c>
      <c r="G139" s="77">
        <f>IF(G109=3,IF(F122=1,1,0),0)</f>
        <v>1</v>
      </c>
      <c r="H139" s="74">
        <f>IF(H109=3,IF(I122=1,1,0),0)</f>
        <v>0</v>
      </c>
      <c r="J139" s="77">
        <f>IF(J109=3,IF(I122=1,1,0),0)</f>
        <v>0</v>
      </c>
      <c r="K139" s="77"/>
      <c r="L139" s="74">
        <f>IF(L109=3,IF(M122=1,1,0),0)</f>
        <v>0</v>
      </c>
      <c r="N139" s="77">
        <f>IF(N109=3,IF(M122=1,1,0),0)</f>
        <v>1</v>
      </c>
      <c r="O139" s="74">
        <f>IF(O109=3,IF(P122=1,1,0),0)</f>
        <v>0</v>
      </c>
      <c r="Q139" s="77">
        <f>IF(Q109=3,IF(P122=1,1,0),0)</f>
        <v>1</v>
      </c>
      <c r="R139" s="74">
        <f>IF(R109=3,IF(S122=1,1,0),0)</f>
        <v>0</v>
      </c>
      <c r="T139" s="77">
        <f>IF(T109=3,IF(S122=1,1,0),0)</f>
        <v>0</v>
      </c>
      <c r="U139" s="74">
        <f>IF(U109=3,IF(V122=1,1,0),0)</f>
        <v>0</v>
      </c>
      <c r="W139" s="77">
        <f>IF(W109=3,IF(V122=1,1,0),0)</f>
        <v>0</v>
      </c>
      <c r="X139" s="74">
        <f>IF(X109=3,IF(Y122=1,1,0),0)</f>
        <v>0</v>
      </c>
      <c r="Z139" s="77">
        <f>IF(Z109=3,IF(Y122=1,1,0),0)</f>
        <v>0</v>
      </c>
      <c r="AA139" s="74">
        <f>IF(AA109=3,IF(AB122=1,1,0),0)</f>
        <v>0</v>
      </c>
      <c r="AC139" s="77">
        <f>IF(AC109=3,IF(AB122=1,1,0),0)</f>
        <v>0</v>
      </c>
      <c r="AD139" s="74">
        <f>IF(AD109=3,IF(AE122=1,1,0),0)</f>
        <v>0</v>
      </c>
      <c r="AF139" s="77">
        <f>IF(AF109=3,IF(AE122=1,1,0),0)</f>
        <v>0</v>
      </c>
      <c r="AG139" s="74">
        <f>SUM(B139:AF139)</f>
        <v>4</v>
      </c>
    </row>
    <row r="140" spans="1:38" s="74" customFormat="1" ht="12.75" hidden="1" customHeight="1" x14ac:dyDescent="0.25">
      <c r="A140" s="74" t="s">
        <v>78</v>
      </c>
      <c r="B140" s="74">
        <f>IF(B109=4,IF(C122=1,1,0),0)</f>
        <v>0</v>
      </c>
      <c r="D140" s="77">
        <f>IF(D109=4,IF(C122=1,1,0),0)</f>
        <v>0</v>
      </c>
      <c r="E140" s="74">
        <f>IF(E109=4,IF(F122=1,1,0),0)</f>
        <v>0</v>
      </c>
      <c r="G140" s="77">
        <f>IF(G109=4,IF(F122=1,1,0),0)</f>
        <v>0</v>
      </c>
      <c r="H140" s="74">
        <f>IF(H109=4,IF(I122=1,1,0),0)</f>
        <v>0</v>
      </c>
      <c r="J140" s="77">
        <f>IF(J109=4,IF(I122=1,1,0),0)</f>
        <v>0</v>
      </c>
      <c r="K140" s="77"/>
      <c r="L140" s="74">
        <f>IF(L109=4,IF(M122=1,1,0),0)</f>
        <v>0</v>
      </c>
      <c r="N140" s="77">
        <f>IF(N109=4,IF(M122=1,1,0),0)</f>
        <v>0</v>
      </c>
      <c r="O140" s="74">
        <f>IF(O109=4,IF(P122=1,1,0),0)</f>
        <v>0</v>
      </c>
      <c r="Q140" s="77">
        <f>IF(Q109=4,IF(P122=1,1,0),0)</f>
        <v>0</v>
      </c>
      <c r="R140" s="74">
        <f>IF(R109=4,IF(S122=1,1,0),0)</f>
        <v>0</v>
      </c>
      <c r="T140" s="77">
        <f>IF(T109=4,IF(S122=1,1,0),0)</f>
        <v>0</v>
      </c>
      <c r="U140" s="74">
        <f>IF(U109=4,IF(V122=1,1,0),0)</f>
        <v>0</v>
      </c>
      <c r="W140" s="77">
        <f>IF(W109=4,IF(V122=1,1,0),0)</f>
        <v>0</v>
      </c>
      <c r="X140" s="74">
        <f>IF(X109=4,IF(Y122=1,1,0),0)</f>
        <v>0</v>
      </c>
      <c r="Z140" s="77">
        <f>IF(Z109=4,IF(Y122=1,1,0),0)</f>
        <v>0</v>
      </c>
      <c r="AA140" s="74">
        <f>IF(AA109=4,IF(AB122=1,1,0),0)</f>
        <v>0</v>
      </c>
      <c r="AC140" s="77">
        <f>IF(AC109=4,IF(AB122=1,1,0),0)</f>
        <v>0</v>
      </c>
      <c r="AD140" s="74">
        <f>IF(AD109=4,IF(AE122=1,1,0),0)</f>
        <v>0</v>
      </c>
      <c r="AF140" s="77">
        <f>IF(AF109=4,IF(AE122=1,1,0),0)</f>
        <v>0</v>
      </c>
      <c r="AG140" s="74">
        <f>SUM(B140:AF140)</f>
        <v>0</v>
      </c>
    </row>
    <row r="141" spans="1:38" s="74" customFormat="1" ht="12.75" hidden="1" customHeight="1" x14ac:dyDescent="0.25">
      <c r="A141" s="74" t="s">
        <v>79</v>
      </c>
      <c r="B141" s="74">
        <f>IF(B109=5,IF(C122=1,1,0),0)</f>
        <v>0</v>
      </c>
      <c r="D141" s="77">
        <f>IF(D109=5,IF(C122=1,1,0),0)</f>
        <v>0</v>
      </c>
      <c r="E141" s="74">
        <f>IF(E109=5,IF(F122=1,1,0),0)</f>
        <v>0</v>
      </c>
      <c r="G141" s="77">
        <f>IF(G109=5,IF(F122=1,1,0),0)</f>
        <v>0</v>
      </c>
      <c r="H141" s="74">
        <f>IF(H109=5,IF(I122=1,1,0),0)</f>
        <v>0</v>
      </c>
      <c r="J141" s="77">
        <f>IF(J109=5,IF(I122=1,1,0),0)</f>
        <v>0</v>
      </c>
      <c r="K141" s="77"/>
      <c r="L141" s="74">
        <f>IF(L109=5,IF(M122=1,1,0),0)</f>
        <v>0</v>
      </c>
      <c r="N141" s="77">
        <f>IF(N109=5,IF(M122=1,1,0),0)</f>
        <v>0</v>
      </c>
      <c r="O141" s="74">
        <f>IF(O109=5,IF(P122=1,1,0),0)</f>
        <v>0</v>
      </c>
      <c r="Q141" s="77">
        <f>IF(Q109=5,IF(P122=1,1,0),0)</f>
        <v>0</v>
      </c>
      <c r="R141" s="74">
        <f>IF(R109=5,IF(S122=1,1,0),0)</f>
        <v>0</v>
      </c>
      <c r="T141" s="77">
        <f>IF(T109=5,IF(S122=1,1,0),0)</f>
        <v>0</v>
      </c>
      <c r="U141" s="74">
        <f>IF(U109=5,IF(V122=1,1,0),0)</f>
        <v>0</v>
      </c>
      <c r="W141" s="77">
        <f>IF(W109=5,IF(V122=1,1,0),0)</f>
        <v>0</v>
      </c>
      <c r="X141" s="74">
        <f>IF(X109=5,IF(Y122=1,1,0),0)</f>
        <v>0</v>
      </c>
      <c r="Z141" s="77">
        <f>IF(Z109=5,IF(Y122=1,1,0),0)</f>
        <v>0</v>
      </c>
      <c r="AA141" s="74">
        <f>IF(AA109=5,IF(AB122=1,1,0),0)</f>
        <v>0</v>
      </c>
      <c r="AC141" s="77">
        <f>IF(AC109=5,IF(AB122=1,1,0),0)</f>
        <v>0</v>
      </c>
      <c r="AD141" s="74">
        <f>IF(AD109=5,IF(AE122=1,1,0),0)</f>
        <v>0</v>
      </c>
      <c r="AF141" s="77">
        <f>IF(AF109=5,IF(AE122=1,1,0),0)</f>
        <v>0</v>
      </c>
      <c r="AG141" s="74">
        <f>SUM(B141:AF141)</f>
        <v>0</v>
      </c>
    </row>
    <row r="142" spans="1:38" s="74" customFormat="1" ht="38.25" hidden="1" customHeight="1" x14ac:dyDescent="0.25">
      <c r="A142" s="78"/>
      <c r="D142" s="77"/>
      <c r="G142" s="77"/>
      <c r="J142" s="77"/>
      <c r="K142" s="77"/>
      <c r="N142" s="77"/>
      <c r="Q142" s="77"/>
      <c r="T142" s="77"/>
      <c r="W142" s="77"/>
      <c r="Z142" s="77"/>
      <c r="AC142" s="77"/>
      <c r="AF142" s="77"/>
      <c r="AG142" s="78" t="s">
        <v>80</v>
      </c>
      <c r="AH142" s="307"/>
      <c r="AI142" s="307"/>
      <c r="AJ142" s="307"/>
      <c r="AK142" s="307"/>
      <c r="AL142" s="307"/>
    </row>
    <row r="143" spans="1:38" s="74" customFormat="1" ht="12.75" hidden="1" customHeight="1" x14ac:dyDescent="0.25">
      <c r="A143" s="74" t="s">
        <v>75</v>
      </c>
      <c r="B143" s="74">
        <f>IF(B109=1,B129,0)</f>
        <v>22</v>
      </c>
      <c r="D143" s="77">
        <f>IF(D109=1,B129,0)</f>
        <v>0</v>
      </c>
      <c r="E143" s="74">
        <f>IF(E109=1,E129,0)</f>
        <v>0</v>
      </c>
      <c r="G143" s="77">
        <f>IF(G109=1,E129,0)</f>
        <v>0</v>
      </c>
      <c r="H143" s="74">
        <f>IF(H109=1,H129,0)</f>
        <v>25</v>
      </c>
      <c r="J143" s="77">
        <f>IF(J109=1,H129,0)</f>
        <v>0</v>
      </c>
      <c r="K143" s="77"/>
      <c r="L143" s="74">
        <f>IF(L109=1,L129,0)</f>
        <v>24</v>
      </c>
      <c r="N143" s="77">
        <f>IF(N109=1,L129,0)</f>
        <v>0</v>
      </c>
      <c r="O143" s="74">
        <f>IF(O109=1,O129,0)</f>
        <v>0</v>
      </c>
      <c r="Q143" s="77">
        <f>IF(Q109=1,O129,0)</f>
        <v>0</v>
      </c>
      <c r="R143" s="74">
        <f>IF(R109=1,R129,0)</f>
        <v>22</v>
      </c>
      <c r="T143" s="77">
        <f>IF(T109=1,R129,0)</f>
        <v>0</v>
      </c>
      <c r="U143" s="74">
        <f>IF(U109=1,U129,0)</f>
        <v>0</v>
      </c>
      <c r="W143" s="77">
        <f>IF(W109=1,U129,0)</f>
        <v>0</v>
      </c>
      <c r="X143" s="74">
        <f>IF(X109=1,X129,0)</f>
        <v>0</v>
      </c>
      <c r="Z143" s="77">
        <f>IF(Z109=1,X129,0)</f>
        <v>0</v>
      </c>
      <c r="AA143" s="74">
        <f>IF(AA109=1,AA129,0)</f>
        <v>0</v>
      </c>
      <c r="AC143" s="77">
        <f>IF(AC109=1,AA129,0)</f>
        <v>0</v>
      </c>
      <c r="AD143" s="74">
        <f>IF(AD109=1,AD129,0)</f>
        <v>0</v>
      </c>
      <c r="AF143" s="77">
        <f>IF(AF109=1,AD129,0)</f>
        <v>0</v>
      </c>
      <c r="AG143" s="74">
        <f>SUM(B143:AF143)</f>
        <v>93</v>
      </c>
    </row>
    <row r="144" spans="1:38" s="74" customFormat="1" ht="12.75" hidden="1" customHeight="1" x14ac:dyDescent="0.25">
      <c r="A144" s="74" t="s">
        <v>76</v>
      </c>
      <c r="B144" s="74">
        <f>IF(B109=2,B129,0)</f>
        <v>0</v>
      </c>
      <c r="D144" s="77">
        <f>IF(D109=2,B129,0)</f>
        <v>0</v>
      </c>
      <c r="E144" s="74">
        <f>IF(E109=2,E129,0)</f>
        <v>24</v>
      </c>
      <c r="G144" s="77">
        <f>IF(G109=2,E129,0)</f>
        <v>0</v>
      </c>
      <c r="H144" s="74">
        <f>IF(H109=2,H129,0)</f>
        <v>0</v>
      </c>
      <c r="J144" s="77">
        <f>IF(J109=2,H129,0)</f>
        <v>25</v>
      </c>
      <c r="K144" s="77"/>
      <c r="L144" s="74">
        <f>IF(L109=2,L129,0)</f>
        <v>0</v>
      </c>
      <c r="N144" s="77">
        <f>IF(N109=2,L129,0)</f>
        <v>0</v>
      </c>
      <c r="O144" s="74">
        <f>IF(O109=2,O129,0)</f>
        <v>21</v>
      </c>
      <c r="Q144" s="77">
        <f>IF(Q109=2,O129,0)</f>
        <v>0</v>
      </c>
      <c r="R144" s="74">
        <f>IF(R109=2,R129,0)</f>
        <v>0</v>
      </c>
      <c r="T144" s="77">
        <f>IF(T109=2,R129,0)</f>
        <v>22</v>
      </c>
      <c r="U144" s="74">
        <f>IF(U109=2,U129,0)</f>
        <v>0</v>
      </c>
      <c r="W144" s="77">
        <f>IF(W109=2,U129,0)</f>
        <v>0</v>
      </c>
      <c r="X144" s="74">
        <f>IF(X109=2,X129,0)</f>
        <v>0</v>
      </c>
      <c r="Z144" s="77">
        <f>IF(Z109=2,X129,0)</f>
        <v>0</v>
      </c>
      <c r="AA144" s="74">
        <f>IF(AA109=2,AA129,0)</f>
        <v>0</v>
      </c>
      <c r="AC144" s="77">
        <f>IF(AC109=2,AA129,0)</f>
        <v>0</v>
      </c>
      <c r="AD144" s="74">
        <f>IF(AD109=2,AD129,0)</f>
        <v>0</v>
      </c>
      <c r="AF144" s="77">
        <f>IF(AF109=2,AD129,0)</f>
        <v>0</v>
      </c>
      <c r="AG144" s="74">
        <f>SUM(B144:AF144)</f>
        <v>92</v>
      </c>
    </row>
    <row r="145" spans="1:34" s="74" customFormat="1" ht="12.75" hidden="1" customHeight="1" x14ac:dyDescent="0.25">
      <c r="A145" s="74" t="s">
        <v>77</v>
      </c>
      <c r="B145" s="74">
        <f>IF(B109=3,B129,0)</f>
        <v>0</v>
      </c>
      <c r="D145" s="77">
        <f>IF(D109=3,B129,0)</f>
        <v>22</v>
      </c>
      <c r="E145" s="74">
        <f>IF(E109=3,E129,0)</f>
        <v>0</v>
      </c>
      <c r="G145" s="77">
        <f>IF(G109=3,E129,0)</f>
        <v>24</v>
      </c>
      <c r="H145" s="74">
        <f>IF(H109=3,H129,0)</f>
        <v>0</v>
      </c>
      <c r="J145" s="77">
        <f>IF(J109=3,H129,0)</f>
        <v>0</v>
      </c>
      <c r="K145" s="77"/>
      <c r="L145" s="74">
        <f>IF(L109=3,L129,0)</f>
        <v>0</v>
      </c>
      <c r="N145" s="77">
        <f>IF(N109=3,L129,0)</f>
        <v>24</v>
      </c>
      <c r="O145" s="74">
        <f>IF(O109=3,O129,0)</f>
        <v>0</v>
      </c>
      <c r="Q145" s="77">
        <f>IF(Q109=3,O129,0)</f>
        <v>21</v>
      </c>
      <c r="R145" s="74">
        <f>IF(R109=3,R129,0)</f>
        <v>0</v>
      </c>
      <c r="T145" s="77">
        <f>IF(T109=3,R129,0)</f>
        <v>0</v>
      </c>
      <c r="U145" s="74">
        <f>IF(U109=3,U129,0)</f>
        <v>0</v>
      </c>
      <c r="W145" s="77">
        <f>IF(W109=3,U129,0)</f>
        <v>0</v>
      </c>
      <c r="X145" s="74">
        <f>IF(X109=3,X129,0)</f>
        <v>0</v>
      </c>
      <c r="Z145" s="77">
        <f>IF(Z109=3,X129,0)</f>
        <v>0</v>
      </c>
      <c r="AA145" s="74">
        <f>IF(AA109=3,AA129,0)</f>
        <v>0</v>
      </c>
      <c r="AC145" s="77">
        <f>IF(AC109=3,AA129,0)</f>
        <v>0</v>
      </c>
      <c r="AD145" s="74">
        <f>IF(AD109=3,AD129,0)</f>
        <v>0</v>
      </c>
      <c r="AF145" s="77">
        <f>IF(AF109=3,AD129,0)</f>
        <v>0</v>
      </c>
      <c r="AG145" s="74">
        <f>SUM(B145:AF145)</f>
        <v>91</v>
      </c>
    </row>
    <row r="146" spans="1:34" s="74" customFormat="1" ht="12.75" hidden="1" customHeight="1" x14ac:dyDescent="0.25">
      <c r="A146" s="74" t="s">
        <v>78</v>
      </c>
      <c r="B146" s="74">
        <f>IF(B109=4,B129,0)</f>
        <v>0</v>
      </c>
      <c r="D146" s="77">
        <f>IF(D109=4,B129,0)</f>
        <v>0</v>
      </c>
      <c r="E146" s="74">
        <f>IF(E109=4,E129,0)</f>
        <v>0</v>
      </c>
      <c r="G146" s="77">
        <f>IF(G109=4,E129,0)</f>
        <v>0</v>
      </c>
      <c r="H146" s="74">
        <f>IF(H109=4,H129,0)</f>
        <v>0</v>
      </c>
      <c r="J146" s="77">
        <f>IF(J109=4,H129,0)</f>
        <v>0</v>
      </c>
      <c r="K146" s="77"/>
      <c r="L146" s="74">
        <f>IF(L109=4,L129,0)</f>
        <v>0</v>
      </c>
      <c r="N146" s="77">
        <f>IF(N109=4,L129,0)</f>
        <v>0</v>
      </c>
      <c r="O146" s="74">
        <f>IF(O109=4,O129,0)</f>
        <v>0</v>
      </c>
      <c r="Q146" s="77">
        <f>IF(Q109=4,O129,0)</f>
        <v>0</v>
      </c>
      <c r="R146" s="74">
        <f>IF(R109=4,R129,0)</f>
        <v>0</v>
      </c>
      <c r="T146" s="77">
        <f>IF(T109=4,R129,0)</f>
        <v>0</v>
      </c>
      <c r="U146" s="74">
        <f>IF(U109=4,U129,0)</f>
        <v>0</v>
      </c>
      <c r="W146" s="77">
        <f>IF(W109=4,U129,0)</f>
        <v>0</v>
      </c>
      <c r="X146" s="74">
        <f>IF(X109=4,X129,0)</f>
        <v>0</v>
      </c>
      <c r="Z146" s="77">
        <f>IF(Z109=4,X129,0)</f>
        <v>0</v>
      </c>
      <c r="AA146" s="74">
        <f>IF(AA109=4,AA129,0)</f>
        <v>0</v>
      </c>
      <c r="AC146" s="77">
        <f>IF(AC109=4,AA129,0)</f>
        <v>0</v>
      </c>
      <c r="AD146" s="74">
        <f>IF(AD109=4,AD129,0)</f>
        <v>0</v>
      </c>
      <c r="AF146" s="77">
        <f>IF(AF109=4,AD129,0)</f>
        <v>0</v>
      </c>
      <c r="AG146" s="74">
        <f>SUM(B146:AF146)</f>
        <v>0</v>
      </c>
    </row>
    <row r="147" spans="1:34" s="74" customFormat="1" ht="12.75" hidden="1" customHeight="1" x14ac:dyDescent="0.25">
      <c r="A147" s="74" t="s">
        <v>79</v>
      </c>
      <c r="B147" s="74">
        <f>IF(B109=5,B129,0)</f>
        <v>0</v>
      </c>
      <c r="D147" s="77">
        <f>IF(D109=5,B129,0)</f>
        <v>0</v>
      </c>
      <c r="E147" s="74">
        <f>IF(E109=5,E129,0)</f>
        <v>0</v>
      </c>
      <c r="G147" s="77">
        <f>IF(G109=5,E129,0)</f>
        <v>0</v>
      </c>
      <c r="H147" s="74">
        <f>IF(H109=5,H129,0)</f>
        <v>0</v>
      </c>
      <c r="J147" s="77">
        <f>IF(J109=5,H129,0)</f>
        <v>0</v>
      </c>
      <c r="K147" s="77"/>
      <c r="L147" s="74">
        <f>IF(L109=5,L129,0)</f>
        <v>0</v>
      </c>
      <c r="N147" s="77">
        <f>IF(N109=5,L129,0)</f>
        <v>0</v>
      </c>
      <c r="O147" s="74">
        <f>IF(O109=5,O129,0)</f>
        <v>0</v>
      </c>
      <c r="Q147" s="77">
        <f>IF(Q109=5,O129,0)</f>
        <v>0</v>
      </c>
      <c r="R147" s="74">
        <f>IF(R109=5,R129,0)</f>
        <v>0</v>
      </c>
      <c r="T147" s="77">
        <f>IF(T109=5,R129,0)</f>
        <v>0</v>
      </c>
      <c r="U147" s="74">
        <f>IF(U109=5,U129,0)</f>
        <v>0</v>
      </c>
      <c r="W147" s="77">
        <f>IF(W109=5,U129,0)</f>
        <v>0</v>
      </c>
      <c r="X147" s="74">
        <f>IF(X109=5,X129,0)</f>
        <v>0</v>
      </c>
      <c r="Z147" s="77">
        <f>IF(Z109=5,X129,0)</f>
        <v>0</v>
      </c>
      <c r="AA147" s="74">
        <f>IF(AA109=5,AA129,0)</f>
        <v>0</v>
      </c>
      <c r="AC147" s="77">
        <f>IF(AC109=5,AA129,0)</f>
        <v>0</v>
      </c>
      <c r="AD147" s="74">
        <f>IF(AD109=5,AD129,0)</f>
        <v>0</v>
      </c>
      <c r="AF147" s="77">
        <f>IF(AF109=5,AD129,0)</f>
        <v>0</v>
      </c>
      <c r="AG147" s="74">
        <f>SUM(B147:AF147)</f>
        <v>0</v>
      </c>
    </row>
    <row r="148" spans="1:34" s="74" customFormat="1" ht="38.25" hidden="1" customHeight="1" x14ac:dyDescent="0.25">
      <c r="A148" s="74" t="s">
        <v>81</v>
      </c>
      <c r="D148" s="77"/>
      <c r="G148" s="77"/>
      <c r="J148" s="77"/>
      <c r="K148" s="77"/>
      <c r="N148" s="77"/>
      <c r="Q148" s="77"/>
      <c r="T148" s="77"/>
      <c r="W148" s="77"/>
      <c r="Z148" s="77"/>
      <c r="AC148" s="77"/>
      <c r="AF148" s="77"/>
      <c r="AG148" s="78" t="s">
        <v>82</v>
      </c>
      <c r="AH148" s="74" t="s">
        <v>83</v>
      </c>
    </row>
    <row r="149" spans="1:34" s="74" customFormat="1" ht="12.75" hidden="1" customHeight="1" x14ac:dyDescent="0.25">
      <c r="A149" s="74" t="s">
        <v>69</v>
      </c>
      <c r="B149" s="74">
        <f>IF(B109=1,SUMIF(B116:B120,"&gt;0"),0)</f>
        <v>1</v>
      </c>
      <c r="D149" s="77">
        <f>IF(D109=1,SUMIF(D116:D120,"&gt;0"),0)</f>
        <v>0</v>
      </c>
      <c r="E149" s="74">
        <f>IF(E109=1,SUMIF(E116:E120,"&gt;0"),0)</f>
        <v>0</v>
      </c>
      <c r="G149" s="77">
        <f>IF(G109=1,SUMIF(G116:G120,"&gt;0"),0)</f>
        <v>0</v>
      </c>
      <c r="H149" s="74">
        <f>IF(H109=1,SUMIF(H116:H120,"&gt;0"),0)</f>
        <v>0</v>
      </c>
      <c r="J149" s="77">
        <f>IF(J109=1,SUMIF(J116:J120,"&gt;0"),0)</f>
        <v>0</v>
      </c>
      <c r="K149" s="77"/>
      <c r="L149" s="74">
        <f>IF(L109=1,SUMIF(L116:L120,"&gt;0"),0)</f>
        <v>1</v>
      </c>
      <c r="N149" s="77">
        <f>IF(N109=1,SUMIF(N116:N120,"&gt;0"),0)</f>
        <v>0</v>
      </c>
      <c r="O149" s="74">
        <f>IF(O109=1,SUMIF(O116:O120,"&gt;0"),0)</f>
        <v>0</v>
      </c>
      <c r="Q149" s="77">
        <f>IF(Q109=1,SUMIF(Q116:Q120,"&gt;0"),0)</f>
        <v>0</v>
      </c>
      <c r="R149" s="74">
        <f>IF(R109=1,SUMIF(R116:R120,"&gt;0"),0)</f>
        <v>0</v>
      </c>
      <c r="T149" s="77">
        <f>IF(T109=1,SUMIF(T116:T120,"&gt;0"),0)</f>
        <v>0</v>
      </c>
      <c r="U149" s="74">
        <f>IF(U109=1,SUMIF(U116:U120,"&gt;0"),0)</f>
        <v>0</v>
      </c>
      <c r="W149" s="77">
        <f>IF(W109=1,SUMIF(W116:W120,"&gt;0"),0)</f>
        <v>0</v>
      </c>
      <c r="X149" s="74">
        <f>IF(X109=1,SUMIF(X116:X120,"&gt;0"),0)</f>
        <v>0</v>
      </c>
      <c r="Z149" s="77">
        <f>IF(Z109=1,SUMIF(Z116:Z120,"&gt;0"),0)</f>
        <v>0</v>
      </c>
      <c r="AA149" s="74">
        <f>IF(AA109=1,SUMIF(AA116:AA120,"&gt;0"),0)</f>
        <v>0</v>
      </c>
      <c r="AC149" s="77">
        <f>IF(AC109=1,SUMIF(AC116:AC120,"&gt;0"),0)</f>
        <v>0</v>
      </c>
      <c r="AD149" s="74">
        <f>IF(AD109=1,SUMIF(AD116:AD120,"&gt;0"),0)</f>
        <v>0</v>
      </c>
      <c r="AF149" s="77">
        <f>IF(AF109=1,SUMIF(AF116:AF120,"&gt;0"),0)</f>
        <v>0</v>
      </c>
      <c r="AG149" s="74">
        <f>SUM(B149:AF149)</f>
        <v>2</v>
      </c>
      <c r="AH149" s="74">
        <f>AG157-AG149</f>
        <v>2</v>
      </c>
    </row>
    <row r="150" spans="1:34" s="74" customFormat="1" ht="12.75" hidden="1" customHeight="1" x14ac:dyDescent="0.25">
      <c r="A150" s="74" t="s">
        <v>70</v>
      </c>
      <c r="B150" s="74">
        <f>IF(B109=2,SUMIF(B116:B120,"&gt;0"),0)</f>
        <v>0</v>
      </c>
      <c r="D150" s="77">
        <f>IF(D109=2,SUMIF(D116:D120,"&gt;0"),0)</f>
        <v>0</v>
      </c>
      <c r="E150" s="74">
        <f>IF(E109=2,SUMIF(E116:E120,"&gt;0"),0)</f>
        <v>1</v>
      </c>
      <c r="G150" s="77">
        <f>IF(G109=2,SUMIF(G116:G120,"&gt;0"),0)</f>
        <v>0</v>
      </c>
      <c r="H150" s="74">
        <f>IF(H109=2,SUMIF(H116:H120,"&gt;0"),0)</f>
        <v>0</v>
      </c>
      <c r="J150" s="77">
        <f>IF(J109=2,SUMIF(J116:J120,"&gt;0"),0)</f>
        <v>1</v>
      </c>
      <c r="K150" s="77"/>
      <c r="L150" s="74">
        <f>IF(L109=2,SUMIF(L116:L120,"&gt;0"),0)</f>
        <v>0</v>
      </c>
      <c r="N150" s="77">
        <f>IF(N109=2,SUMIF(N116:N120,"&gt;0"),0)</f>
        <v>0</v>
      </c>
      <c r="O150" s="74">
        <f>IF(O109=2,SUMIF(O116:O120,"&gt;0"),0)</f>
        <v>1</v>
      </c>
      <c r="Q150" s="77">
        <f>IF(Q109=2,SUMIF(Q116:Q120,"&gt;0"),0)</f>
        <v>0</v>
      </c>
      <c r="R150" s="74">
        <f>IF(R109=2,SUMIF(R116:R120,"&gt;0"),0)</f>
        <v>0</v>
      </c>
      <c r="T150" s="77">
        <f>IF(T109=2,SUMIF(T116:T120,"&gt;0"),0)</f>
        <v>1</v>
      </c>
      <c r="U150" s="74">
        <f>IF(U109=2,SUMIF(U116:U120,"&gt;0"),0)</f>
        <v>0</v>
      </c>
      <c r="W150" s="77">
        <f>IF(W109=2,SUMIF(W116:W120,"&gt;0"),0)</f>
        <v>0</v>
      </c>
      <c r="X150" s="74">
        <f>IF(X109=2,SUMIF(X116:X120,"&gt;0"),0)</f>
        <v>0</v>
      </c>
      <c r="Z150" s="77">
        <f>IF(Z109=2,SUMIF(Z116:Z120,"&gt;0"),0)</f>
        <v>0</v>
      </c>
      <c r="AA150" s="74">
        <f>IF(AA109=2,SUMIF(AA116:AA120,"&gt;0"),0)</f>
        <v>0</v>
      </c>
      <c r="AC150" s="77">
        <f>IF(AC109=2,SUMIF(AC116:AC120,"&gt;0"),0)</f>
        <v>0</v>
      </c>
      <c r="AD150" s="74">
        <f>IF(AD109=2,SUMIF(AD116:AD120,"&gt;0"),0)</f>
        <v>0</v>
      </c>
      <c r="AF150" s="77">
        <f>IF(AF109=2,SUMIF(AF116:AF120,"&gt;0"),0)</f>
        <v>0</v>
      </c>
      <c r="AG150" s="74">
        <f>SUM(B150:AF150)</f>
        <v>4</v>
      </c>
      <c r="AH150" s="74">
        <f>AG158-AG150</f>
        <v>0</v>
      </c>
    </row>
    <row r="151" spans="1:34" s="74" customFormat="1" ht="12.75" hidden="1" customHeight="1" x14ac:dyDescent="0.25">
      <c r="A151" s="74" t="s">
        <v>71</v>
      </c>
      <c r="B151" s="74">
        <f>IF(B109=3,SUMIF(B116:B120,"&gt;0"),0)</f>
        <v>0</v>
      </c>
      <c r="D151" s="77">
        <f>IF(D109=3,SUMIF(D116:D120,"&gt;0"),0)</f>
        <v>0</v>
      </c>
      <c r="E151" s="74">
        <f>IF(E109=3,SUMIF(E116:E120,"&gt;0"),0)</f>
        <v>0</v>
      </c>
      <c r="G151" s="77">
        <f>IF(G109=3,SUMIF(G116:G120,"&gt;0"),0)</f>
        <v>0</v>
      </c>
      <c r="H151" s="74">
        <f>IF(H109=3,SUMIF(H116:H120,"&gt;0"),0)</f>
        <v>0</v>
      </c>
      <c r="J151" s="77">
        <f>IF(J109=3,SUMIF(J116:J120,"&gt;0"),0)</f>
        <v>0</v>
      </c>
      <c r="K151" s="77"/>
      <c r="L151" s="74">
        <f>IF(L109=3,SUMIF(L116:L120,"&gt;0"),0)</f>
        <v>0</v>
      </c>
      <c r="N151" s="77">
        <f>IF(N109=3,SUMIF(N116:N120,"&gt;0"),0)</f>
        <v>0</v>
      </c>
      <c r="O151" s="74">
        <f>IF(O109=3,SUMIF(O116:O120,"&gt;0"),0)</f>
        <v>0</v>
      </c>
      <c r="Q151" s="77">
        <f>IF(Q109=3,SUMIF(Q116:Q120,"&gt;0"),0)</f>
        <v>0</v>
      </c>
      <c r="R151" s="74">
        <f>IF(R109=3,SUMIF(R116:R120,"&gt;0"),0)</f>
        <v>0</v>
      </c>
      <c r="T151" s="77">
        <f>IF(T109=3,SUMIF(T116:T120,"&gt;0"),0)</f>
        <v>0</v>
      </c>
      <c r="U151" s="74">
        <f>IF(U109=3,SUMIF(U116:U120,"&gt;0"),0)</f>
        <v>0</v>
      </c>
      <c r="W151" s="77">
        <f>IF(W109=3,SUMIF(W116:W120,"&gt;0"),0)</f>
        <v>0</v>
      </c>
      <c r="X151" s="74">
        <f>IF(X109=3,SUMIF(X116:X120,"&gt;0"),0)</f>
        <v>0</v>
      </c>
      <c r="Z151" s="77">
        <f>IF(Z109=3,SUMIF(Z116:Z120,"&gt;0"),0)</f>
        <v>0</v>
      </c>
      <c r="AA151" s="74">
        <f>IF(AA109=3,SUMIF(AA116:AA120,"&gt;0"),0)</f>
        <v>0</v>
      </c>
      <c r="AC151" s="77">
        <f>IF(AC109=3,SUMIF(AC116:AC120,"&gt;0"),0)</f>
        <v>0</v>
      </c>
      <c r="AD151" s="74">
        <f>IF(AD109=3,SUMIF(AD116:AD120,"&gt;0"),0)</f>
        <v>0</v>
      </c>
      <c r="AF151" s="77">
        <f>IF(AF109=3,SUMIF(AF116:AF120,"&gt;0"),0)</f>
        <v>0</v>
      </c>
      <c r="AG151" s="74">
        <f>SUM(B151:AF151)</f>
        <v>0</v>
      </c>
      <c r="AH151" s="74">
        <f>AG159-AG151</f>
        <v>4</v>
      </c>
    </row>
    <row r="152" spans="1:34" s="74" customFormat="1" ht="12.75" hidden="1" customHeight="1" x14ac:dyDescent="0.25">
      <c r="A152" s="74" t="s">
        <v>72</v>
      </c>
      <c r="B152" s="74">
        <f>IF(B109=4,SUMIF(B116:B120,"&gt;0"),0)</f>
        <v>0</v>
      </c>
      <c r="D152" s="77">
        <f>IF(D109=4,SUMIF(D116:D120,"&gt;0"),0)</f>
        <v>0</v>
      </c>
      <c r="E152" s="74">
        <f>IF(E109=4,SUMIF(E116:E120,"&gt;0"),0)</f>
        <v>0</v>
      </c>
      <c r="G152" s="77">
        <f>IF(G109=4,SUMIF(G116:G120,"&gt;0"),0)</f>
        <v>0</v>
      </c>
      <c r="H152" s="74">
        <f>IF(H109=4,SUMIF(H116:H120,"&gt;0"),0)</f>
        <v>0</v>
      </c>
      <c r="J152" s="77">
        <f>IF(J109=4,SUMIF(J116:J120,"&gt;0"),0)</f>
        <v>0</v>
      </c>
      <c r="K152" s="77"/>
      <c r="L152" s="74">
        <f>IF(L109=4,SUMIF(L116:L120,"&gt;0"),0)</f>
        <v>0</v>
      </c>
      <c r="N152" s="77">
        <f>IF(N109=4,SUMIF(N116:N120,"&gt;0"),0)</f>
        <v>0</v>
      </c>
      <c r="O152" s="74">
        <f>IF(O109=4,SUMIF(O116:O120,"&gt;0"),0)</f>
        <v>0</v>
      </c>
      <c r="Q152" s="77">
        <f>IF(Q109=4,SUMIF(Q116:Q120,"&gt;0"),0)</f>
        <v>0</v>
      </c>
      <c r="R152" s="74">
        <f>IF(R109=4,SUMIF(R116:R120,"&gt;0"),0)</f>
        <v>0</v>
      </c>
      <c r="T152" s="77">
        <f>IF(T109=4,SUMIF(T116:T120,"&gt;0"),0)</f>
        <v>0</v>
      </c>
      <c r="U152" s="74">
        <f>IF(U109=4,SUMIF(U116:U120,"&gt;0"),0)</f>
        <v>0</v>
      </c>
      <c r="W152" s="77">
        <f>IF(W109=4,SUMIF(W116:W120,"&gt;0"),0)</f>
        <v>0</v>
      </c>
      <c r="X152" s="74">
        <f>IF(X109=4,SUMIF(X116:X120,"&gt;0"),0)</f>
        <v>0</v>
      </c>
      <c r="Z152" s="77">
        <f>IF(Z109=4,SUMIF(Z116:Z120,"&gt;0"),0)</f>
        <v>0</v>
      </c>
      <c r="AA152" s="74">
        <f>IF(AA109=4,SUMIF(AA116:AA120,"&gt;0"),0)</f>
        <v>0</v>
      </c>
      <c r="AC152" s="77">
        <f>IF(AC109=4,SUMIF(AC116:AC120,"&gt;0"),0)</f>
        <v>0</v>
      </c>
      <c r="AD152" s="74">
        <f>IF(AD109=4,SUMIF(AD116:AD120,"&gt;0"),0)</f>
        <v>0</v>
      </c>
      <c r="AF152" s="77">
        <f>IF(AF109=4,SUMIF(AF116:AF120,"&gt;0"),0)</f>
        <v>0</v>
      </c>
      <c r="AG152" s="74">
        <f>SUM(B152:AF152)</f>
        <v>0</v>
      </c>
      <c r="AH152" s="74">
        <f>AG160-AG152</f>
        <v>0</v>
      </c>
    </row>
    <row r="153" spans="1:34" s="74" customFormat="1" ht="12.75" hidden="1" customHeight="1" x14ac:dyDescent="0.25">
      <c r="A153" s="74" t="s">
        <v>73</v>
      </c>
      <c r="B153" s="74">
        <f>IF(B109=5,SUMIF(B116:B120,"&gt;0"),0)</f>
        <v>0</v>
      </c>
      <c r="D153" s="77">
        <f>IF(D109=5,SUMIF(D116:D120,"&gt;0"),0)</f>
        <v>0</v>
      </c>
      <c r="E153" s="74">
        <f>IF(E109=5,SUMIF(E116:E120,"&gt;0"),0)</f>
        <v>0</v>
      </c>
      <c r="G153" s="77">
        <f>IF(G109=5,SUMIF(G116:G120,"&gt;0"),0)</f>
        <v>0</v>
      </c>
      <c r="H153" s="74">
        <f>IF(H109=5,SUMIF(H116:H120,"&gt;0"),0)</f>
        <v>0</v>
      </c>
      <c r="J153" s="77">
        <f>IF(J109=5,SUMIF(J116:J120,"&gt;0"),0)</f>
        <v>0</v>
      </c>
      <c r="K153" s="77"/>
      <c r="L153" s="74">
        <f>IF(L109=5,SUMIF(L116:L120,"&gt;0"),0)</f>
        <v>0</v>
      </c>
      <c r="N153" s="77">
        <f>IF(N109=5,SUMIF(N116:N120,"&gt;0"),0)</f>
        <v>0</v>
      </c>
      <c r="O153" s="74">
        <f>IF(O109=5,SUMIF(O116:O120,"&gt;0"),0)</f>
        <v>0</v>
      </c>
      <c r="Q153" s="77">
        <f>IF(Q109=5,SUMIF(Q116:Q120,"&gt;0"),0)</f>
        <v>0</v>
      </c>
      <c r="R153" s="74">
        <f>IF(R109=5,SUMIF(R116:R120,"&gt;0"),0)</f>
        <v>0</v>
      </c>
      <c r="T153" s="77">
        <f>IF(T109=5,SUMIF(T116:T120,"&gt;0"),0)</f>
        <v>0</v>
      </c>
      <c r="U153" s="74">
        <f>IF(U109=5,SUMIF(U116:U120,"&gt;0"),0)</f>
        <v>0</v>
      </c>
      <c r="W153" s="77">
        <f>IF(W109=5,SUMIF(W116:W120,"&gt;0"),0)</f>
        <v>0</v>
      </c>
      <c r="X153" s="74">
        <f>IF(X109=5,SUMIF(X116:X120,"&gt;0"),0)</f>
        <v>0</v>
      </c>
      <c r="Z153" s="77">
        <f>IF(Z109=5,SUMIF(Z116:Z120,"&gt;0"),0)</f>
        <v>0</v>
      </c>
      <c r="AA153" s="74">
        <f>IF(AA109=5,SUMIF(AA116:AA120,"&gt;0"),0)</f>
        <v>0</v>
      </c>
      <c r="AC153" s="77">
        <f>IF(AC109=5,SUMIF(AC116:AC120,"&gt;0"),0)</f>
        <v>0</v>
      </c>
      <c r="AD153" s="74">
        <f>IF(AD109=5,SUMIF(AD116:AD120,"&gt;0"),0)</f>
        <v>0</v>
      </c>
      <c r="AF153" s="77">
        <f>IF(AF109=5,SUMIF(AF116:AF120,"&gt;0"),0)</f>
        <v>0</v>
      </c>
      <c r="AG153" s="74">
        <f>SUM(B153:AF153)</f>
        <v>0</v>
      </c>
      <c r="AH153" s="74">
        <f>AG161-AG153</f>
        <v>0</v>
      </c>
    </row>
    <row r="154" spans="1:34" s="74" customFormat="1" ht="12.75" hidden="1" customHeight="1" x14ac:dyDescent="0.25">
      <c r="D154" s="77"/>
      <c r="G154" s="77"/>
      <c r="J154" s="77"/>
      <c r="K154" s="77"/>
      <c r="N154" s="77"/>
      <c r="Q154" s="77"/>
      <c r="T154" s="77"/>
      <c r="W154" s="77"/>
      <c r="Z154" s="77"/>
      <c r="AC154" s="77"/>
      <c r="AF154" s="77"/>
    </row>
    <row r="155" spans="1:34" s="74" customFormat="1" ht="12.75" hidden="1" customHeight="1" x14ac:dyDescent="0.25">
      <c r="D155" s="77"/>
      <c r="G155" s="77"/>
      <c r="J155" s="77"/>
      <c r="K155" s="77"/>
      <c r="N155" s="77"/>
      <c r="Q155" s="77"/>
      <c r="T155" s="77"/>
      <c r="W155" s="77"/>
      <c r="Z155" s="77"/>
      <c r="AC155" s="77"/>
      <c r="AF155" s="77"/>
    </row>
    <row r="156" spans="1:34" s="74" customFormat="1" ht="51" hidden="1" customHeight="1" x14ac:dyDescent="0.25">
      <c r="A156" s="78" t="s">
        <v>84</v>
      </c>
      <c r="C156" s="74">
        <f>SUMIF(B149:D153,"&gt;0")</f>
        <v>1</v>
      </c>
      <c r="D156" s="77"/>
      <c r="F156" s="74">
        <f>SUMIF(E149:G153,"&gt;0")</f>
        <v>1</v>
      </c>
      <c r="G156" s="77"/>
      <c r="I156" s="74">
        <f>SUMIF(H149:J153,"&gt;0")</f>
        <v>1</v>
      </c>
      <c r="J156" s="77"/>
      <c r="K156" s="77"/>
      <c r="M156" s="74">
        <f>SUMIF(L149:N153,"&gt;0")</f>
        <v>1</v>
      </c>
      <c r="N156" s="77"/>
      <c r="P156" s="74">
        <f>SUMIF(O149:Q153,"&gt;0")</f>
        <v>1</v>
      </c>
      <c r="Q156" s="77"/>
      <c r="S156" s="74">
        <f>SUMIF(R149:T153,"&gt;0")</f>
        <v>1</v>
      </c>
      <c r="T156" s="77"/>
      <c r="V156" s="74">
        <f>SUMIF(U149:W153,"&gt;0")</f>
        <v>0</v>
      </c>
      <c r="W156" s="77"/>
      <c r="Y156" s="74">
        <f>SUMIF(X149:Z153,"&gt;0")</f>
        <v>0</v>
      </c>
      <c r="Z156" s="77"/>
      <c r="AB156" s="74">
        <f>SUMIF(AA149:AC153,"&gt;0")</f>
        <v>0</v>
      </c>
      <c r="AC156" s="77"/>
      <c r="AE156" s="74">
        <f>SUMIF(AD149:AF153,"&gt;0")</f>
        <v>0</v>
      </c>
      <c r="AF156" s="77"/>
      <c r="AG156" s="78" t="s">
        <v>85</v>
      </c>
    </row>
    <row r="157" spans="1:34" s="74" customFormat="1" ht="12.75" hidden="1" customHeight="1" x14ac:dyDescent="0.25">
      <c r="A157" s="74" t="s">
        <v>75</v>
      </c>
      <c r="B157" s="74">
        <f>IF(B109=1,C156,0)</f>
        <v>1</v>
      </c>
      <c r="D157" s="77">
        <f>IF(D109=1,C156,0)</f>
        <v>0</v>
      </c>
      <c r="E157" s="74">
        <f>IF(E109=1,F156,0)</f>
        <v>0</v>
      </c>
      <c r="G157" s="77">
        <f>IF(G109=1,F156,0)</f>
        <v>0</v>
      </c>
      <c r="H157" s="74">
        <f>IF(H109=1,I156,0)</f>
        <v>1</v>
      </c>
      <c r="J157" s="77">
        <f>IF(J109=1,I156,0)</f>
        <v>0</v>
      </c>
      <c r="K157" s="77"/>
      <c r="L157" s="74">
        <f>IF(L109=1,M156,0)</f>
        <v>1</v>
      </c>
      <c r="N157" s="77">
        <f>IF(N109=1,M156,0)</f>
        <v>0</v>
      </c>
      <c r="O157" s="74">
        <f>IF(O109=1,P156,0)</f>
        <v>0</v>
      </c>
      <c r="Q157" s="77">
        <f>IF(Q109=1,P156,0)</f>
        <v>0</v>
      </c>
      <c r="R157" s="74">
        <f>IF(R109=1,S156,0)</f>
        <v>1</v>
      </c>
      <c r="T157" s="77">
        <f>IF(T109=1,S156,0)</f>
        <v>0</v>
      </c>
      <c r="U157" s="74">
        <f>IF(U109=1,V156,0)</f>
        <v>0</v>
      </c>
      <c r="W157" s="77">
        <f>IF(W109=1,V156,0)</f>
        <v>0</v>
      </c>
      <c r="X157" s="74">
        <f>IF(X109=1,Y156,0)</f>
        <v>0</v>
      </c>
      <c r="Z157" s="77">
        <f>IF(Z109=1,Y156,0)</f>
        <v>0</v>
      </c>
      <c r="AA157" s="74">
        <f>IF(AA109=1,AB156,0)</f>
        <v>0</v>
      </c>
      <c r="AC157" s="77">
        <f>IF(AC109=1,AB156,0)</f>
        <v>0</v>
      </c>
      <c r="AD157" s="74">
        <f>IF(AD109=1,AE156,0)</f>
        <v>0</v>
      </c>
      <c r="AF157" s="77">
        <f>IF(AF109=1,AE156,0)</f>
        <v>0</v>
      </c>
      <c r="AG157" s="74">
        <f>SUM(B157:AF157)</f>
        <v>4</v>
      </c>
    </row>
    <row r="158" spans="1:34" s="74" customFormat="1" ht="12.75" hidden="1" customHeight="1" x14ac:dyDescent="0.25">
      <c r="A158" s="74" t="s">
        <v>76</v>
      </c>
      <c r="B158" s="74">
        <f>IF(B109=2,C156,0)</f>
        <v>0</v>
      </c>
      <c r="D158" s="77">
        <f>IF(D109=2,C156,0)</f>
        <v>0</v>
      </c>
      <c r="E158" s="74">
        <f>IF(E109=2,F156,0)</f>
        <v>1</v>
      </c>
      <c r="G158" s="77">
        <f>IF(G109=2,F156,0)</f>
        <v>0</v>
      </c>
      <c r="H158" s="74">
        <f>IF(H109=2,I156,0)</f>
        <v>0</v>
      </c>
      <c r="J158" s="77">
        <f>IF(J109=2,I156,0)</f>
        <v>1</v>
      </c>
      <c r="K158" s="77"/>
      <c r="L158" s="74">
        <f>IF(L109=2,M156,0)</f>
        <v>0</v>
      </c>
      <c r="N158" s="77">
        <f>IF(N109=2,M156,0)</f>
        <v>0</v>
      </c>
      <c r="O158" s="74">
        <f>IF(O109=2,P156,0)</f>
        <v>1</v>
      </c>
      <c r="Q158" s="77">
        <f>IF(Q109=2,P156,0)</f>
        <v>0</v>
      </c>
      <c r="R158" s="74">
        <f>IF(R109=2,S156,0)</f>
        <v>0</v>
      </c>
      <c r="T158" s="77">
        <f>IF(T109=2,S156,0)</f>
        <v>1</v>
      </c>
      <c r="U158" s="74">
        <f>IF(U109=2,V156,0)</f>
        <v>0</v>
      </c>
      <c r="W158" s="77">
        <f>IF(W109=2,V156,0)</f>
        <v>0</v>
      </c>
      <c r="X158" s="74">
        <f>IF(X109=2,Y156,0)</f>
        <v>0</v>
      </c>
      <c r="Z158" s="77">
        <f>IF(Z109=2,Y156,0)</f>
        <v>0</v>
      </c>
      <c r="AA158" s="74">
        <f>IF(AA109=2,AB156,0)</f>
        <v>0</v>
      </c>
      <c r="AC158" s="77">
        <f>IF(AC109=2,AB156,0)</f>
        <v>0</v>
      </c>
      <c r="AD158" s="74">
        <f>IF(AD109=2,AE156,0)</f>
        <v>0</v>
      </c>
      <c r="AF158" s="77">
        <f>IF(AF109=2,AE156,0)</f>
        <v>0</v>
      </c>
      <c r="AG158" s="74">
        <f>SUM(B158:AF158)</f>
        <v>4</v>
      </c>
    </row>
    <row r="159" spans="1:34" s="74" customFormat="1" ht="12.75" hidden="1" customHeight="1" x14ac:dyDescent="0.25">
      <c r="A159" s="74" t="s">
        <v>77</v>
      </c>
      <c r="B159" s="74">
        <f>IF(B109=3,C156,0)</f>
        <v>0</v>
      </c>
      <c r="D159" s="77">
        <f>IF(D109=3,C156,0)</f>
        <v>1</v>
      </c>
      <c r="E159" s="74">
        <f>IF(E109=3,F156,0)</f>
        <v>0</v>
      </c>
      <c r="G159" s="77">
        <f>IF(G109=3,F156,0)</f>
        <v>1</v>
      </c>
      <c r="H159" s="74">
        <f>IF(H109=3,I156,0)</f>
        <v>0</v>
      </c>
      <c r="J159" s="77">
        <f>IF(J109=3,I156,0)</f>
        <v>0</v>
      </c>
      <c r="K159" s="77"/>
      <c r="L159" s="74">
        <f>IF(L109=3,M156,0)</f>
        <v>0</v>
      </c>
      <c r="N159" s="77">
        <f>IF(N109=3,M156,0)</f>
        <v>1</v>
      </c>
      <c r="O159" s="74">
        <f>IF(O109=3,P156,0)</f>
        <v>0</v>
      </c>
      <c r="Q159" s="77">
        <f>IF(Q109=3,P156,0)</f>
        <v>1</v>
      </c>
      <c r="R159" s="74">
        <f>IF(R109=3,S156,0)</f>
        <v>0</v>
      </c>
      <c r="T159" s="77">
        <f>IF(T109=3,S156,0)</f>
        <v>0</v>
      </c>
      <c r="U159" s="74">
        <f>IF(U109=3,V156,0)</f>
        <v>0</v>
      </c>
      <c r="W159" s="77">
        <f>IF(W109=3,V156,0)</f>
        <v>0</v>
      </c>
      <c r="X159" s="74">
        <f>IF(X109=3,Y156,0)</f>
        <v>0</v>
      </c>
      <c r="Z159" s="77">
        <f>IF(Z109=3,Y156,0)</f>
        <v>0</v>
      </c>
      <c r="AA159" s="74">
        <f>IF(AA109=3,AB156,0)</f>
        <v>0</v>
      </c>
      <c r="AC159" s="77">
        <f>IF(AC109=3,AB156,0)</f>
        <v>0</v>
      </c>
      <c r="AD159" s="74">
        <f>IF(AD109=3,AE156,0)</f>
        <v>0</v>
      </c>
      <c r="AF159" s="77">
        <f>IF(AF109=3,AE156,0)</f>
        <v>0</v>
      </c>
      <c r="AG159" s="74">
        <f>SUM(B159:AF159)</f>
        <v>4</v>
      </c>
    </row>
    <row r="160" spans="1:34" s="74" customFormat="1" ht="12.75" hidden="1" customHeight="1" x14ac:dyDescent="0.25">
      <c r="A160" s="74" t="s">
        <v>78</v>
      </c>
      <c r="B160" s="74">
        <f>IF(B109=4,C156,0)</f>
        <v>0</v>
      </c>
      <c r="D160" s="77">
        <f>IF(D109=4,C156,0)</f>
        <v>0</v>
      </c>
      <c r="E160" s="74">
        <f>IF(E109=4,F156,0)</f>
        <v>0</v>
      </c>
      <c r="G160" s="77">
        <f>IF(G109=4,F156,0)</f>
        <v>0</v>
      </c>
      <c r="H160" s="74">
        <f>IF(H109=4,I156,0)</f>
        <v>0</v>
      </c>
      <c r="J160" s="77">
        <f>IF(J109=4,I156,0)</f>
        <v>0</v>
      </c>
      <c r="K160" s="77"/>
      <c r="L160" s="74">
        <f>IF(L109=4,M156,0)</f>
        <v>0</v>
      </c>
      <c r="N160" s="77">
        <f>IF(N109=4,M156,0)</f>
        <v>0</v>
      </c>
      <c r="O160" s="74">
        <f>IF(O109=4,P156,0)</f>
        <v>0</v>
      </c>
      <c r="Q160" s="77">
        <f>IF(Q109=4,P156,0)</f>
        <v>0</v>
      </c>
      <c r="R160" s="74">
        <f>IF(R109=4,S156,0)</f>
        <v>0</v>
      </c>
      <c r="T160" s="77">
        <f>IF(T109=4,S156,0)</f>
        <v>0</v>
      </c>
      <c r="U160" s="74">
        <f>IF(U109=4,V156,0)</f>
        <v>0</v>
      </c>
      <c r="W160" s="77">
        <f>IF(W109=4,V156,0)</f>
        <v>0</v>
      </c>
      <c r="X160" s="74">
        <f>IF(X109=4,Y156,0)</f>
        <v>0</v>
      </c>
      <c r="Z160" s="77">
        <f>IF(Z109=4,Y156,0)</f>
        <v>0</v>
      </c>
      <c r="AA160" s="74">
        <f>IF(AA109=4,AB156,0)</f>
        <v>0</v>
      </c>
      <c r="AC160" s="77">
        <f>IF(AC109=4,AB156,0)</f>
        <v>0</v>
      </c>
      <c r="AD160" s="74">
        <f>IF(AD109=4,AE156,0)</f>
        <v>0</v>
      </c>
      <c r="AF160" s="77">
        <f>IF(AF109=4,AE156,0)</f>
        <v>0</v>
      </c>
      <c r="AG160" s="74">
        <f>SUM(B160:AF160)</f>
        <v>0</v>
      </c>
    </row>
    <row r="161" spans="1:81" s="74" customFormat="1" ht="12.75" hidden="1" customHeight="1" x14ac:dyDescent="0.25">
      <c r="A161" s="74" t="s">
        <v>79</v>
      </c>
      <c r="B161" s="74">
        <f>IF(B109=5,C156,0)</f>
        <v>0</v>
      </c>
      <c r="D161" s="77">
        <f>IF(D109=5,C156,0)</f>
        <v>0</v>
      </c>
      <c r="E161" s="74">
        <f>IF(E109=5,F156,0)</f>
        <v>0</v>
      </c>
      <c r="G161" s="77">
        <f>IF(G109=5,F156,0)</f>
        <v>0</v>
      </c>
      <c r="H161" s="74">
        <f>IF(H109=5,I156,0)</f>
        <v>0</v>
      </c>
      <c r="J161" s="77">
        <f>IF(J109=5,I156,0)</f>
        <v>0</v>
      </c>
      <c r="K161" s="77"/>
      <c r="L161" s="74">
        <f>IF(L109=5,M156,0)</f>
        <v>0</v>
      </c>
      <c r="N161" s="77">
        <f>IF(N109=5,M156,0)</f>
        <v>0</v>
      </c>
      <c r="O161" s="74">
        <f>IF(O109=5,P156,0)</f>
        <v>0</v>
      </c>
      <c r="Q161" s="77">
        <f>IF(Q109=5,P156,0)</f>
        <v>0</v>
      </c>
      <c r="R161" s="74">
        <f>IF(R109=5,S156,0)</f>
        <v>0</v>
      </c>
      <c r="T161" s="77">
        <f>IF(T109=5,S156,0)</f>
        <v>0</v>
      </c>
      <c r="U161" s="74">
        <f>IF(U109=5,V156,0)</f>
        <v>0</v>
      </c>
      <c r="W161" s="77">
        <f>IF(W109=5,V156,0)</f>
        <v>0</v>
      </c>
      <c r="X161" s="74">
        <f>IF(X109=5,Y156,0)</f>
        <v>0</v>
      </c>
      <c r="Z161" s="77">
        <f>IF(Z109=5,Y156,0)</f>
        <v>0</v>
      </c>
      <c r="AA161" s="74">
        <f>IF(AA109=5,AB156,0)</f>
        <v>0</v>
      </c>
      <c r="AC161" s="77">
        <f>IF(AC109=5,AB156,0)</f>
        <v>0</v>
      </c>
      <c r="AD161" s="74">
        <f>IF(AD109=5,AE156,0)</f>
        <v>0</v>
      </c>
      <c r="AF161" s="77">
        <f>IF(AF109=5,AE156,0)</f>
        <v>0</v>
      </c>
      <c r="AG161" s="74">
        <f>SUM(B161:AF161)</f>
        <v>0</v>
      </c>
    </row>
    <row r="162" spans="1:81" hidden="1" x14ac:dyDescent="0.25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79"/>
      <c r="AN162" s="79"/>
      <c r="AO162" s="80"/>
      <c r="AP162" s="80"/>
      <c r="AQ162" s="80"/>
      <c r="AR162" s="80"/>
      <c r="AS162" s="81"/>
      <c r="AT162" s="81"/>
      <c r="AU162" s="81"/>
      <c r="AV162" s="81"/>
      <c r="AW162" s="82"/>
      <c r="BB162" s="82"/>
      <c r="BE162" s="82"/>
      <c r="BH162" s="82"/>
      <c r="BK162" s="82"/>
      <c r="BN162" s="82"/>
      <c r="BQ162" s="82"/>
      <c r="BT162" s="82"/>
      <c r="BW162" s="82"/>
      <c r="BZ162" s="82"/>
      <c r="CC162" s="82"/>
    </row>
    <row r="163" spans="1:81" s="81" customFormat="1" hidden="1" x14ac:dyDescent="0.25">
      <c r="A163" s="83"/>
      <c r="B163" s="83"/>
      <c r="C163" s="83" t="s">
        <v>86</v>
      </c>
      <c r="D163" s="83">
        <v>1</v>
      </c>
      <c r="E163" s="83"/>
      <c r="F163" s="83"/>
      <c r="G163" s="83">
        <v>2</v>
      </c>
      <c r="H163" s="83"/>
      <c r="I163" s="83"/>
      <c r="J163" s="83">
        <v>3</v>
      </c>
      <c r="K163" s="83"/>
      <c r="L163" s="83"/>
      <c r="M163" s="83"/>
      <c r="N163" s="83">
        <v>4</v>
      </c>
      <c r="O163" s="83"/>
      <c r="P163" s="83"/>
      <c r="Q163" s="83">
        <v>5</v>
      </c>
      <c r="R163" s="83"/>
      <c r="S163" s="83"/>
      <c r="T163" s="83">
        <v>6</v>
      </c>
      <c r="U163" s="83"/>
      <c r="V163" s="83"/>
      <c r="W163" s="83">
        <v>7</v>
      </c>
      <c r="X163" s="83"/>
      <c r="Y163" s="83"/>
      <c r="Z163" s="83">
        <v>8</v>
      </c>
      <c r="AA163" s="83"/>
      <c r="AB163" s="83"/>
      <c r="AC163" s="83">
        <v>9</v>
      </c>
      <c r="AD163" s="83"/>
      <c r="AE163" s="83"/>
      <c r="AF163" s="83">
        <v>10</v>
      </c>
      <c r="AG163"/>
      <c r="AH163" s="83"/>
      <c r="AJ163" s="84"/>
      <c r="AK163"/>
      <c r="AL163"/>
      <c r="AM163"/>
      <c r="AN163"/>
      <c r="AO163"/>
      <c r="AP163"/>
      <c r="AT163" s="84" t="s">
        <v>87</v>
      </c>
      <c r="AW163" s="85"/>
      <c r="BB163" s="85"/>
      <c r="BE163" s="85"/>
      <c r="BH163" s="85"/>
      <c r="BK163" s="85"/>
      <c r="BN163" s="85"/>
      <c r="BQ163" s="85"/>
      <c r="BT163" s="85"/>
      <c r="BW163" s="85"/>
      <c r="BZ163" s="85"/>
      <c r="CC163" s="85"/>
    </row>
    <row r="164" spans="1:81" s="81" customFormat="1" hidden="1" x14ac:dyDescent="0.25">
      <c r="A164" s="86">
        <v>1</v>
      </c>
      <c r="B164" s="86" t="str">
        <f>E93</f>
        <v>SC Midlands KP White</v>
      </c>
      <c r="C164" s="86">
        <f>VLOOKUP(B164,AU$3:AY$33,3,FALSE)</f>
        <v>1200</v>
      </c>
      <c r="D164" s="86">
        <f>IF(B157,B172,IF(D157,D172,C164))</f>
        <v>1216</v>
      </c>
      <c r="E164" s="86"/>
      <c r="F164" s="86"/>
      <c r="G164" s="86">
        <f>IF(E157,E172,IF(G157,G172,D164))</f>
        <v>1216</v>
      </c>
      <c r="H164" s="86"/>
      <c r="I164" s="86"/>
      <c r="J164" s="86">
        <f>IF(H157,H172,IF(J157,J172,G164))</f>
        <v>1199.9660918698307</v>
      </c>
      <c r="K164" s="86"/>
      <c r="L164" s="86"/>
      <c r="M164" s="86"/>
      <c r="N164" s="86">
        <f>IF(L157,L172,IF(N157,N172,J164))</f>
        <v>1214.5317679562456</v>
      </c>
      <c r="O164" s="86"/>
      <c r="P164" s="86"/>
      <c r="Q164" s="86">
        <f>IF(O157,O172,IF(Q157,Q172,N164))</f>
        <v>1214.5317679562456</v>
      </c>
      <c r="R164" s="86"/>
      <c r="S164" s="86"/>
      <c r="T164" s="86">
        <f>IF(R157,R172,IF(T157,T172,Q164))</f>
        <v>1199.8765772221348</v>
      </c>
      <c r="U164" s="86"/>
      <c r="V164" s="86"/>
      <c r="W164" s="86">
        <f>IF(U157,U172,IF(W157,W172,T164))</f>
        <v>1199.8765772221348</v>
      </c>
      <c r="X164" s="86"/>
      <c r="Y164" s="86"/>
      <c r="Z164" s="86">
        <f>IF(X157,X172,IF(Z157,Z172,W164))</f>
        <v>1199.8765772221348</v>
      </c>
      <c r="AA164" s="86"/>
      <c r="AB164" s="86"/>
      <c r="AC164" s="86">
        <f>IF(AA157,AA172,IF(AC157,AC172,Z164))</f>
        <v>1199.8765772221348</v>
      </c>
      <c r="AD164" s="86"/>
      <c r="AE164" s="86"/>
      <c r="AF164" s="86">
        <f>IF(AD157,AD172,IF(AF157,AF172,AC164))</f>
        <v>1199.8765772221348</v>
      </c>
      <c r="AG164"/>
      <c r="AH164"/>
      <c r="AK164"/>
      <c r="AL164"/>
      <c r="AM164"/>
      <c r="AN164"/>
      <c r="AO164"/>
      <c r="AP164"/>
      <c r="AT164" s="81" t="str">
        <f>B164</f>
        <v>SC Midlands KP White</v>
      </c>
      <c r="AU164" s="81">
        <f>AF164</f>
        <v>1199.8765772221348</v>
      </c>
      <c r="AW164" s="85"/>
      <c r="BB164" s="85"/>
      <c r="BE164" s="85"/>
      <c r="BH164" s="85"/>
      <c r="BK164" s="85"/>
      <c r="BN164" s="85"/>
      <c r="BQ164" s="85"/>
      <c r="BT164" s="85"/>
      <c r="BW164" s="85"/>
      <c r="BZ164" s="85"/>
      <c r="CC164" s="85"/>
    </row>
    <row r="165" spans="1:81" s="81" customFormat="1" hidden="1" x14ac:dyDescent="0.25">
      <c r="A165" s="86">
        <v>2</v>
      </c>
      <c r="B165" s="86" t="str">
        <f>E95</f>
        <v>SC Midlands KP Boys</v>
      </c>
      <c r="C165" s="86">
        <f>VLOOKUP(B165,AU$3:AY$33,3,FALSE)</f>
        <v>1200</v>
      </c>
      <c r="D165" s="86">
        <f>IF(B158,B172,IF(D158,D172,C165))</f>
        <v>1200</v>
      </c>
      <c r="E165" s="86"/>
      <c r="F165" s="86"/>
      <c r="G165" s="86">
        <f>IF(E158,E172,IF(G158,G172,D165))</f>
        <v>1215.2636932064779</v>
      </c>
      <c r="H165" s="86"/>
      <c r="I165" s="86"/>
      <c r="J165" s="86">
        <f>IF(H158,H172,IF(J158,J172,G165))</f>
        <v>1231.2976013366472</v>
      </c>
      <c r="K165" s="86"/>
      <c r="L165" s="86"/>
      <c r="M165" s="86"/>
      <c r="N165" s="86">
        <f>IF(L158,L172,IF(N158,N172,J165))</f>
        <v>1231.2976013366472</v>
      </c>
      <c r="O165" s="86"/>
      <c r="P165" s="86"/>
      <c r="Q165" s="86">
        <f>IF(O158,O172,IF(Q158,Q172,N165))</f>
        <v>1243.8029893074061</v>
      </c>
      <c r="R165" s="86"/>
      <c r="S165" s="86"/>
      <c r="T165" s="86">
        <f>IF(R158,R172,IF(T158,T172,Q165))</f>
        <v>1258.4581800415169</v>
      </c>
      <c r="U165" s="86"/>
      <c r="V165" s="86"/>
      <c r="W165" s="86">
        <f>IF(U158,U172,IF(W158,W172,T165))</f>
        <v>1258.4581800415169</v>
      </c>
      <c r="X165" s="86"/>
      <c r="Y165" s="86"/>
      <c r="Z165" s="86">
        <f>IF(X158,X172,IF(Z158,Z172,W165))</f>
        <v>1258.4581800415169</v>
      </c>
      <c r="AA165" s="86"/>
      <c r="AB165" s="86"/>
      <c r="AC165" s="86">
        <f>IF(AA158,AA172,IF(AC158,AC172,Z165))</f>
        <v>1258.4581800415169</v>
      </c>
      <c r="AD165" s="86"/>
      <c r="AE165" s="86"/>
      <c r="AF165" s="86">
        <f>IF(AD158,AD172,IF(AF158,AF172,AC165))</f>
        <v>1258.4581800415169</v>
      </c>
      <c r="AG165"/>
      <c r="AH165"/>
      <c r="AK165"/>
      <c r="AM165"/>
      <c r="AN165"/>
      <c r="AO165"/>
      <c r="AP165"/>
      <c r="AT165" s="81" t="str">
        <f>B165</f>
        <v>SC Midlands KP Boys</v>
      </c>
      <c r="AU165" s="81">
        <f>AF165</f>
        <v>1258.4581800415169</v>
      </c>
      <c r="AW165" s="85"/>
      <c r="BB165" s="85"/>
      <c r="BE165" s="85"/>
      <c r="BH165" s="85"/>
      <c r="BK165" s="85"/>
      <c r="BN165" s="85"/>
      <c r="BQ165" s="85"/>
      <c r="BT165" s="85"/>
      <c r="BW165" s="85"/>
      <c r="BZ165" s="85"/>
      <c r="CC165" s="85"/>
    </row>
    <row r="166" spans="1:81" s="81" customFormat="1" hidden="1" x14ac:dyDescent="0.25">
      <c r="A166" s="86">
        <v>3</v>
      </c>
      <c r="B166" s="86" t="str">
        <f>E97</f>
        <v>C1VB Juniors Grey</v>
      </c>
      <c r="C166" s="86">
        <f>VLOOKUP(B166,AU$3:AY$33,3,FALSE)</f>
        <v>1200</v>
      </c>
      <c r="D166" s="86">
        <f>IF(B159,B172,IF(D159,D172,C166))</f>
        <v>1184</v>
      </c>
      <c r="E166" s="86"/>
      <c r="F166" s="86"/>
      <c r="G166" s="86">
        <f>IF(E159,E172,IF(G159,G172,D166))</f>
        <v>1168.7363067935221</v>
      </c>
      <c r="H166" s="86"/>
      <c r="I166" s="86"/>
      <c r="J166" s="86">
        <f>IF(H159,H172,IF(J159,J172,G166))</f>
        <v>1168.7363067935221</v>
      </c>
      <c r="K166" s="86"/>
      <c r="L166" s="86"/>
      <c r="M166" s="86"/>
      <c r="N166" s="86">
        <f>IF(L159,L172,IF(N159,N172,J166))</f>
        <v>1154.1706307071072</v>
      </c>
      <c r="O166" s="86"/>
      <c r="P166" s="86"/>
      <c r="Q166" s="86">
        <f>IF(O159,O172,IF(Q159,Q172,N166))</f>
        <v>1141.6652427363483</v>
      </c>
      <c r="R166" s="86"/>
      <c r="S166" s="86"/>
      <c r="T166" s="86">
        <f>IF(R159,R172,IF(T159,T172,Q166))</f>
        <v>1141.6652427363483</v>
      </c>
      <c r="U166" s="86"/>
      <c r="V166" s="86"/>
      <c r="W166" s="86">
        <f>IF(U159,U172,IF(W159,W172,T166))</f>
        <v>1141.6652427363483</v>
      </c>
      <c r="X166" s="86"/>
      <c r="Y166" s="86"/>
      <c r="Z166" s="86">
        <f>IF(X159,X172,IF(Z159,Z172,W166))</f>
        <v>1141.6652427363483</v>
      </c>
      <c r="AA166" s="86"/>
      <c r="AB166" s="86"/>
      <c r="AC166" s="86">
        <f>IF(AA159,AA172,IF(AC159,AC172,Z166))</f>
        <v>1141.6652427363483</v>
      </c>
      <c r="AD166" s="86"/>
      <c r="AE166" s="86"/>
      <c r="AF166" s="86">
        <f>IF(AD159,AD172,IF(AF159,AF172,AC166))</f>
        <v>1141.6652427363483</v>
      </c>
      <c r="AG166"/>
      <c r="AH166"/>
      <c r="AK166"/>
      <c r="AM166"/>
      <c r="AN166"/>
      <c r="AO166"/>
      <c r="AP166"/>
      <c r="AT166" s="81" t="str">
        <f>B166</f>
        <v>C1VB Juniors Grey</v>
      </c>
      <c r="AU166" s="81">
        <f>AF166</f>
        <v>1141.6652427363483</v>
      </c>
      <c r="AW166" s="85"/>
      <c r="BB166" s="85"/>
      <c r="BE166" s="85"/>
      <c r="BH166" s="85"/>
      <c r="BK166" s="85"/>
      <c r="BN166" s="85"/>
      <c r="BQ166" s="85"/>
      <c r="BT166" s="85"/>
      <c r="BW166" s="85"/>
      <c r="BZ166" s="85"/>
      <c r="CC166" s="85"/>
    </row>
    <row r="167" spans="1:81" s="81" customFormat="1" hidden="1" x14ac:dyDescent="0.25">
      <c r="A167" s="86">
        <v>4</v>
      </c>
      <c r="B167" s="86">
        <f>E99</f>
        <v>0</v>
      </c>
      <c r="C167" s="86" t="e">
        <f>VLOOKUP(B167,AU$3:AY$33,3,FALSE)</f>
        <v>#N/A</v>
      </c>
      <c r="D167" s="86" t="e">
        <f>IF(B160,B172,IF(D160,D172,C167))</f>
        <v>#N/A</v>
      </c>
      <c r="E167" s="86"/>
      <c r="F167" s="86"/>
      <c r="G167" s="86" t="e">
        <f>IF(E160,E172,IF(G160,G172,D167))</f>
        <v>#N/A</v>
      </c>
      <c r="H167" s="86"/>
      <c r="I167" s="86"/>
      <c r="J167" s="86" t="e">
        <f>IF(H160,H172,IF(J160,J172,G167))</f>
        <v>#N/A</v>
      </c>
      <c r="K167" s="86"/>
      <c r="L167" s="86"/>
      <c r="M167" s="86"/>
      <c r="N167" s="86" t="e">
        <f>IF(L160,L172,IF(N160,N172,J167))</f>
        <v>#N/A</v>
      </c>
      <c r="O167" s="86"/>
      <c r="P167" s="86"/>
      <c r="Q167" s="86" t="e">
        <f>IF(O160,O172,IF(Q160,Q172,N167))</f>
        <v>#N/A</v>
      </c>
      <c r="R167" s="86"/>
      <c r="S167" s="86"/>
      <c r="T167" s="86" t="e">
        <f>IF(R160,R172,IF(T160,T172,Q167))</f>
        <v>#N/A</v>
      </c>
      <c r="U167" s="86"/>
      <c r="V167" s="86"/>
      <c r="W167" s="86" t="e">
        <f>IF(U160,U172,IF(W160,W172,T167))</f>
        <v>#N/A</v>
      </c>
      <c r="X167" s="86"/>
      <c r="Y167" s="86"/>
      <c r="Z167" s="86" t="e">
        <f>IF(X160,X172,IF(Z160,Z172,W167))</f>
        <v>#N/A</v>
      </c>
      <c r="AA167" s="86"/>
      <c r="AB167" s="86"/>
      <c r="AC167" s="86" t="e">
        <f>IF(AA160,AA172,IF(AC160,AC172,Z167))</f>
        <v>#N/A</v>
      </c>
      <c r="AD167" s="86"/>
      <c r="AE167" s="86"/>
      <c r="AF167" s="86" t="e">
        <f>IF(AD160,AD172,IF(AF160,AF172,AC167))</f>
        <v>#N/A</v>
      </c>
      <c r="AG167"/>
      <c r="AH167"/>
      <c r="AK167"/>
      <c r="AM167"/>
      <c r="AN167"/>
      <c r="AO167"/>
      <c r="AP167"/>
      <c r="AT167" s="81">
        <f>B167</f>
        <v>0</v>
      </c>
      <c r="AU167" s="81" t="e">
        <f>AF167</f>
        <v>#N/A</v>
      </c>
      <c r="AW167" s="85"/>
      <c r="BB167" s="85"/>
      <c r="BE167" s="85"/>
      <c r="BH167" s="85"/>
      <c r="BK167" s="85"/>
      <c r="BN167" s="85"/>
      <c r="BQ167" s="85"/>
      <c r="BT167" s="85"/>
      <c r="BW167" s="85"/>
      <c r="BZ167" s="85"/>
      <c r="CC167" s="85"/>
    </row>
    <row r="168" spans="1:81" s="81" customFormat="1" hidden="1" x14ac:dyDescent="0.25">
      <c r="A168" s="86">
        <v>5</v>
      </c>
      <c r="B168" s="86">
        <f>E101</f>
        <v>0</v>
      </c>
      <c r="C168" s="86" t="e">
        <f>VLOOKUP(B168,AU$3:AY$33,3,FALSE)</f>
        <v>#N/A</v>
      </c>
      <c r="D168" s="86" t="e">
        <f>IF(B161,B172,IF(D161,D172,C168))</f>
        <v>#N/A</v>
      </c>
      <c r="E168" s="86"/>
      <c r="F168" s="86"/>
      <c r="G168" s="86" t="e">
        <f>IF(E161,E172,IF(G161,G172,D168))</f>
        <v>#N/A</v>
      </c>
      <c r="H168" s="86"/>
      <c r="I168" s="86"/>
      <c r="J168" s="86" t="e">
        <f>IF(H161,H172,IF(J161,J172,G168))</f>
        <v>#N/A</v>
      </c>
      <c r="K168" s="86"/>
      <c r="L168" s="86"/>
      <c r="M168" s="86"/>
      <c r="N168" s="86" t="e">
        <f>IF(L161,L172,IF(N161,N172,J168))</f>
        <v>#N/A</v>
      </c>
      <c r="O168" s="86"/>
      <c r="P168" s="86"/>
      <c r="Q168" s="86" t="e">
        <f>IF(O161,O172,IF(Q161,Q172,N168))</f>
        <v>#N/A</v>
      </c>
      <c r="R168" s="86"/>
      <c r="S168" s="86"/>
      <c r="T168" s="86" t="e">
        <f>IF(R161,R172,IF(T161,T172,Q168))</f>
        <v>#N/A</v>
      </c>
      <c r="U168" s="86"/>
      <c r="V168" s="86"/>
      <c r="W168" s="86" t="e">
        <f>IF(U161,U172,IF(W161,W172,T168))</f>
        <v>#N/A</v>
      </c>
      <c r="X168" s="86"/>
      <c r="Y168" s="86"/>
      <c r="Z168" s="86" t="e">
        <f>IF(X161,X172,IF(Z161,Z172,W168))</f>
        <v>#N/A</v>
      </c>
      <c r="AA168" s="86"/>
      <c r="AB168" s="86"/>
      <c r="AC168" s="86" t="e">
        <f>IF(AA161,AA172,IF(AC161,AC172,Z168))</f>
        <v>#N/A</v>
      </c>
      <c r="AD168" s="86"/>
      <c r="AE168" s="86"/>
      <c r="AF168" s="86" t="e">
        <f>IF(AD161,AD172,IF(AF161,AF172,AC168))</f>
        <v>#N/A</v>
      </c>
      <c r="AG168"/>
      <c r="AH168"/>
      <c r="AK168"/>
      <c r="AM168"/>
      <c r="AN168"/>
      <c r="AO168"/>
      <c r="AP168"/>
      <c r="AT168" s="81">
        <f>B168</f>
        <v>0</v>
      </c>
      <c r="AU168" s="81" t="e">
        <f>AF168</f>
        <v>#N/A</v>
      </c>
      <c r="AW168" s="85"/>
      <c r="BB168" s="85"/>
      <c r="BE168" s="85"/>
      <c r="BH168" s="85"/>
      <c r="BK168" s="85"/>
      <c r="BN168" s="85"/>
      <c r="BQ168" s="85"/>
      <c r="BT168" s="85"/>
      <c r="BW168" s="85"/>
      <c r="BZ168" s="85"/>
      <c r="CC168" s="85"/>
    </row>
    <row r="169" spans="1:81" s="81" customFormat="1" hidden="1" x14ac:dyDescent="0.25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/>
      <c r="AH169"/>
      <c r="AK169"/>
      <c r="AM169"/>
      <c r="AN169"/>
      <c r="AO169"/>
      <c r="AP169"/>
      <c r="AW169" s="85"/>
      <c r="BB169" s="85"/>
      <c r="BE169" s="85"/>
      <c r="BH169" s="85"/>
      <c r="BK169" s="85"/>
      <c r="BN169" s="85"/>
      <c r="BQ169" s="85"/>
      <c r="BT169" s="85"/>
      <c r="BW169" s="85"/>
      <c r="BZ169" s="85"/>
      <c r="CC169" s="85"/>
    </row>
    <row r="170" spans="1:81" s="81" customFormat="1" hidden="1" x14ac:dyDescent="0.25">
      <c r="A170" s="86" t="s">
        <v>88</v>
      </c>
      <c r="B170" s="86">
        <f>VLOOKUP(B109,$A164:$AF168,3,FALSE)</f>
        <v>1200</v>
      </c>
      <c r="C170" s="86">
        <v>1</v>
      </c>
      <c r="D170" s="86">
        <f>VLOOKUP(D109,$A164:$AF168,3,FALSE)</f>
        <v>1200</v>
      </c>
      <c r="E170" s="86">
        <f>VLOOKUP(E109,$A164:$AF168,4,FALSE)</f>
        <v>1200</v>
      </c>
      <c r="F170" s="86">
        <v>2</v>
      </c>
      <c r="G170" s="86">
        <f>VLOOKUP(G109,$A164:$AF168,4,FALSE)</f>
        <v>1184</v>
      </c>
      <c r="H170" s="86">
        <f>VLOOKUP(H109,$A164:$AF168,7,FALSE)</f>
        <v>1216</v>
      </c>
      <c r="I170" s="86">
        <v>3</v>
      </c>
      <c r="J170" s="86">
        <f>VLOOKUP(J109,$A164:$AF168,7,FALSE)</f>
        <v>1215.2636932064779</v>
      </c>
      <c r="K170" s="86"/>
      <c r="L170" s="86">
        <f>VLOOKUP(L109,$A164:$AF168,10,FALSE)</f>
        <v>1199.9660918698307</v>
      </c>
      <c r="M170" s="86">
        <v>4</v>
      </c>
      <c r="N170" s="86">
        <f>VLOOKUP(N109,$A164:$AF168,10,FALSE)</f>
        <v>1168.7363067935221</v>
      </c>
      <c r="O170" s="86">
        <f>VLOOKUP(O109,$A164:$AF168,14,FALSE)</f>
        <v>1231.2976013366472</v>
      </c>
      <c r="P170" s="86">
        <v>5</v>
      </c>
      <c r="Q170" s="86">
        <f>VLOOKUP(Q109,$A164:$AF168,14,FALSE)</f>
        <v>1154.1706307071072</v>
      </c>
      <c r="R170" s="86">
        <f>VLOOKUP(R109,$A164:$AF168,17,FALSE)</f>
        <v>1214.5317679562456</v>
      </c>
      <c r="S170" s="86">
        <v>6</v>
      </c>
      <c r="T170" s="86">
        <f>VLOOKUP(T109,$A164:$AF168,17,FALSE)</f>
        <v>1243.8029893074061</v>
      </c>
      <c r="U170" s="86">
        <f>VLOOKUP(U109,$A164:$AF168,20,FALSE)</f>
        <v>1258.4581800415169</v>
      </c>
      <c r="V170" s="86">
        <v>7</v>
      </c>
      <c r="W170" s="86">
        <f>VLOOKUP(W109,$A164:$AF168,20,FALSE)</f>
        <v>1141.6652427363483</v>
      </c>
      <c r="X170" s="86">
        <f>VLOOKUP(X109,$A164:$AF168,23,FALSE)</f>
        <v>1199.8765772221348</v>
      </c>
      <c r="Y170" s="86">
        <v>8</v>
      </c>
      <c r="Z170" s="86" t="e">
        <f>VLOOKUP(Z109,$A164:$AF168,23,FALSE)</f>
        <v>#N/A</v>
      </c>
      <c r="AA170" s="86">
        <f>VLOOKUP(AA109,$A164:$AF168,26,FALSE)</f>
        <v>1141.6652427363483</v>
      </c>
      <c r="AB170" s="86">
        <v>9</v>
      </c>
      <c r="AC170" s="86" t="e">
        <f>VLOOKUP(AC109,$A164:$AF168,26,FALSE)</f>
        <v>#N/A</v>
      </c>
      <c r="AD170" s="86">
        <f>VLOOKUP(AD109,$A164:$AF168,29,FALSE)</f>
        <v>1199.8765772221348</v>
      </c>
      <c r="AE170" s="86">
        <v>10</v>
      </c>
      <c r="AF170" s="86">
        <f>VLOOKUP(AF109,$A164:$AF168,29,FALSE)</f>
        <v>1258.4581800415169</v>
      </c>
      <c r="AG170"/>
      <c r="AH170" s="79"/>
      <c r="AI170" s="79"/>
      <c r="AJ170" s="79"/>
      <c r="AK170" s="79"/>
      <c r="AL170" s="79"/>
      <c r="AM170" s="79"/>
      <c r="AN170" s="79"/>
      <c r="AO170" s="80"/>
      <c r="AP170" s="80"/>
      <c r="AQ170" s="80"/>
      <c r="AR170" s="80"/>
      <c r="AW170" s="85"/>
      <c r="BB170" s="85"/>
      <c r="BE170" s="85"/>
      <c r="BH170" s="85"/>
      <c r="BK170" s="85"/>
      <c r="BN170" s="85"/>
      <c r="BQ170" s="85"/>
      <c r="BT170" s="85"/>
      <c r="BW170" s="85"/>
      <c r="BZ170" s="85"/>
      <c r="CC170" s="85"/>
    </row>
    <row r="171" spans="1:81" s="91" customFormat="1" hidden="1" x14ac:dyDescent="0.25">
      <c r="A171" s="87" t="s">
        <v>89</v>
      </c>
      <c r="B171" s="87">
        <f>1/(1+(10^-((B170-D170)/400)))*(B121+D121)</f>
        <v>0.5</v>
      </c>
      <c r="C171" s="87"/>
      <c r="D171" s="87">
        <f>1/(1+(10^-((D170-B170)/400)))*(B121+D121)</f>
        <v>0.5</v>
      </c>
      <c r="E171" s="87">
        <f>1/(1+(10^-((E170-G170)/400)))*(E121+G121)</f>
        <v>0.52300958729756231</v>
      </c>
      <c r="F171" s="87"/>
      <c r="G171" s="87">
        <f>1/(1+(10^-((G170-E170)/400)))*(E121+G121)</f>
        <v>0.47699041270243769</v>
      </c>
      <c r="H171" s="87">
        <f>1/(1+(10^-((H170-J170)/400)))*(H121+J121)</f>
        <v>0.50105962906778723</v>
      </c>
      <c r="I171" s="87"/>
      <c r="J171" s="87">
        <f>1/(1+(10^-((J170-H170)/400)))*(H121+J121)</f>
        <v>0.49894037093221266</v>
      </c>
      <c r="K171" s="87"/>
      <c r="L171" s="87">
        <f>1/(1+(10^-((L170-N170)/400)))*(L121+N121)</f>
        <v>0.5448226222995336</v>
      </c>
      <c r="M171" s="87"/>
      <c r="N171" s="87">
        <f>1/(1+(10^-((N170-L170)/400)))*(L121+N121)</f>
        <v>0.45517737770046646</v>
      </c>
      <c r="O171" s="87">
        <f>1/(1+(10^-((O170-Q170)/400)))*(O121+Q121)</f>
        <v>0.60920662591378294</v>
      </c>
      <c r="P171" s="87"/>
      <c r="Q171" s="87">
        <f>1/(1+(10^-((Q170-O170)/400)))*(O121+Q121)</f>
        <v>0.39079337408621706</v>
      </c>
      <c r="R171" s="87">
        <f>1/(1+(10^-((R170-T170)/400)))*(R121+T121)</f>
        <v>0.45797471044096777</v>
      </c>
      <c r="S171" s="87"/>
      <c r="T171" s="87">
        <f>1/(1+(10^-((T170-R170)/400)))*(R121+T121)</f>
        <v>0.54202528955903218</v>
      </c>
      <c r="U171" s="87">
        <f>1/(1+(10^-((U170-W170)/400)))*(U121+W121)</f>
        <v>0</v>
      </c>
      <c r="V171" s="87"/>
      <c r="W171" s="87">
        <f>1/(1+(10^-((W170-U170)/400)))*(U121+W121)</f>
        <v>0</v>
      </c>
      <c r="X171" s="87" t="e">
        <f>1/(1+(10^-((X170-Z170)/400)))*(X121+Z121)</f>
        <v>#N/A</v>
      </c>
      <c r="Y171" s="87"/>
      <c r="Z171" s="87" t="e">
        <f>1/(1+(10^-((Z170-X170)/400)))*(X121+Z121)</f>
        <v>#N/A</v>
      </c>
      <c r="AA171" s="87" t="e">
        <f>1/(1+(10^-((AA170-AC170)/400)))*(AA121+AC121)</f>
        <v>#N/A</v>
      </c>
      <c r="AB171" s="87"/>
      <c r="AC171" s="87" t="e">
        <f>1/(1+(10^-((AC170-AA170)/400)))*(AA121+AC121)</f>
        <v>#N/A</v>
      </c>
      <c r="AD171" s="87">
        <f>1/(1+(10^-((AD170-AF170)/400)))*(AD121+AF121)</f>
        <v>0</v>
      </c>
      <c r="AE171" s="87"/>
      <c r="AF171" s="87">
        <f>1/(1+(10^-((AF170-AD170)/400)))*(AD121+AF121)</f>
        <v>0</v>
      </c>
      <c r="AG171" s="88"/>
      <c r="AH171" s="89"/>
      <c r="AI171" s="89"/>
      <c r="AJ171" s="89"/>
      <c r="AK171" s="89"/>
      <c r="AL171" s="89"/>
      <c r="AM171" s="89"/>
      <c r="AN171" s="89"/>
      <c r="AO171" s="90"/>
      <c r="AP171" s="90"/>
      <c r="AQ171" s="90"/>
      <c r="AR171" s="90"/>
      <c r="AW171" s="92"/>
      <c r="BB171" s="92"/>
      <c r="BE171" s="92"/>
      <c r="BH171" s="92"/>
      <c r="BK171" s="92"/>
      <c r="BN171" s="92"/>
      <c r="BQ171" s="92"/>
      <c r="BT171" s="92"/>
      <c r="BW171" s="92"/>
      <c r="BZ171" s="92"/>
      <c r="CC171" s="92"/>
    </row>
    <row r="172" spans="1:81" s="97" customFormat="1" hidden="1" x14ac:dyDescent="0.25">
      <c r="A172" s="93" t="s">
        <v>90</v>
      </c>
      <c r="B172" s="93">
        <f>B170+(B121-B171)*$BA$1</f>
        <v>1216</v>
      </c>
      <c r="C172" s="93"/>
      <c r="D172" s="93">
        <f>D170+(D121-D171)*$BA$1</f>
        <v>1184</v>
      </c>
      <c r="E172" s="93">
        <f>E170+(E121-E171)*$BA$1</f>
        <v>1215.2636932064779</v>
      </c>
      <c r="F172" s="93"/>
      <c r="G172" s="93">
        <f>G170+(G121-G171)*$BA$1</f>
        <v>1168.7363067935221</v>
      </c>
      <c r="H172" s="93">
        <f>H170+(H121-H171)*$BA$1</f>
        <v>1199.9660918698307</v>
      </c>
      <c r="I172" s="93"/>
      <c r="J172" s="93">
        <f>J170+(J121-J171)*$BA$1</f>
        <v>1231.2976013366472</v>
      </c>
      <c r="K172" s="93"/>
      <c r="L172" s="93">
        <f>L170+(L121-L171)*$BA$1</f>
        <v>1214.5317679562456</v>
      </c>
      <c r="M172" s="93"/>
      <c r="N172" s="93">
        <f>N170+(N121-N171)*$BA$1</f>
        <v>1154.1706307071072</v>
      </c>
      <c r="O172" s="93">
        <f>O170+(O121-O171)*$BA$1</f>
        <v>1243.8029893074061</v>
      </c>
      <c r="P172" s="93"/>
      <c r="Q172" s="93">
        <f>Q170+(Q121-Q171)*$BA$1</f>
        <v>1141.6652427363483</v>
      </c>
      <c r="R172" s="93">
        <f>R170+(R121-R171)*$BA$1</f>
        <v>1199.8765772221348</v>
      </c>
      <c r="S172" s="93"/>
      <c r="T172" s="93">
        <f>T170+(T121-T171)*$BA$1</f>
        <v>1258.4581800415169</v>
      </c>
      <c r="U172" s="93">
        <f>U170+(U121-U171)*$BA$1</f>
        <v>1258.4581800415169</v>
      </c>
      <c r="V172" s="93"/>
      <c r="W172" s="93">
        <f>W170+(W121-W171)*$BA$1</f>
        <v>1141.6652427363483</v>
      </c>
      <c r="X172" s="93" t="e">
        <f>X170+(X121-X171)*$BA$1</f>
        <v>#N/A</v>
      </c>
      <c r="Y172" s="93"/>
      <c r="Z172" s="93" t="e">
        <f>Z170+(Z121-Z171)*$BA$1</f>
        <v>#N/A</v>
      </c>
      <c r="AA172" s="93" t="e">
        <f>AA170+(AA121-AA171)*$BA$1</f>
        <v>#N/A</v>
      </c>
      <c r="AB172" s="93"/>
      <c r="AC172" s="93" t="e">
        <f>AC170+(AC121-AC171)*$BA$1</f>
        <v>#N/A</v>
      </c>
      <c r="AD172" s="93">
        <f>AD170+(AD121-AD171)*$BA$1</f>
        <v>1199.8765772221348</v>
      </c>
      <c r="AE172" s="93"/>
      <c r="AF172" s="93">
        <f>AF170+(AF121-AF171)*$BA$1</f>
        <v>1258.4581800415169</v>
      </c>
      <c r="AG172" s="94"/>
      <c r="AH172" s="95"/>
      <c r="AI172" s="95"/>
      <c r="AJ172" s="95"/>
      <c r="AK172" s="95"/>
      <c r="AL172" s="95"/>
      <c r="AM172" s="95"/>
      <c r="AN172" s="95"/>
      <c r="AO172" s="96"/>
      <c r="AP172" s="96"/>
      <c r="AQ172" s="96"/>
      <c r="AR172" s="96"/>
      <c r="AW172" s="98"/>
      <c r="BB172" s="98"/>
      <c r="BE172" s="98"/>
      <c r="BH172" s="98"/>
      <c r="BK172" s="98"/>
      <c r="BN172" s="98"/>
      <c r="BQ172" s="98"/>
      <c r="BT172" s="98"/>
      <c r="BW172" s="98"/>
      <c r="BZ172" s="98"/>
      <c r="CC172" s="98"/>
    </row>
    <row r="173" spans="1:81" s="97" customFormat="1" hidden="1" x14ac:dyDescent="0.25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  <c r="AF173" s="93"/>
      <c r="AG173" s="94"/>
      <c r="AH173" s="95"/>
      <c r="AI173" s="95"/>
      <c r="AJ173" s="95"/>
      <c r="AK173" s="95"/>
      <c r="AL173" s="95"/>
      <c r="AM173" s="95"/>
      <c r="AN173" s="95"/>
      <c r="AO173" s="96"/>
      <c r="AP173" s="96"/>
      <c r="AQ173" s="96"/>
      <c r="AR173" s="96"/>
      <c r="AW173" s="98"/>
      <c r="BB173" s="98"/>
      <c r="BE173" s="98"/>
      <c r="BH173" s="98"/>
      <c r="BK173" s="98"/>
      <c r="BN173" s="98"/>
      <c r="BQ173" s="98"/>
      <c r="BT173" s="98"/>
      <c r="BW173" s="98"/>
      <c r="BZ173" s="98"/>
      <c r="CC173" s="98"/>
    </row>
    <row r="174" spans="1:81" s="81" customFormat="1" x14ac:dyDescent="0.25">
      <c r="A174" s="308" t="str">
        <f>IF($AL95=1,"Pool Tiereaker : 1) Matches Won vs Lost (if 3 way tie then #4)  2) Head to Head  3) Game Win %  4) Total Pool Net Points  5) Flip a Coin","Pool Tiebreaker : 1) Games Won vs Lost (if 3 way tie then #5)  2) Head to Head  3) Head to Head Net Points  4) Game Win %  5) Total Pool Net Points  6) Flip a Coin")</f>
        <v>Pool Tiereaker : 1) Matches Won vs Lost (if 3 way tie then #4)  2) Head to Head  3) Game Win %  4) Total Pool Net Points  5) Flip a Coin</v>
      </c>
      <c r="B174" s="308"/>
      <c r="C174" s="308"/>
      <c r="D174" s="308"/>
      <c r="E174" s="308"/>
      <c r="F174" s="308"/>
      <c r="G174" s="308"/>
      <c r="H174" s="308"/>
      <c r="I174" s="308"/>
      <c r="J174" s="308"/>
      <c r="K174" s="308"/>
      <c r="L174" s="308"/>
      <c r="M174" s="308"/>
      <c r="N174" s="308"/>
      <c r="O174" s="308"/>
      <c r="P174" s="308"/>
      <c r="Q174" s="308"/>
      <c r="R174" s="308"/>
      <c r="S174" s="308"/>
      <c r="T174" s="308"/>
      <c r="U174" s="308"/>
      <c r="V174" s="308"/>
      <c r="W174" s="308"/>
      <c r="X174" s="308"/>
      <c r="Y174" s="308"/>
      <c r="Z174" s="308"/>
      <c r="AA174" s="308"/>
      <c r="AB174" s="308"/>
      <c r="AC174" s="308"/>
      <c r="AD174" s="308"/>
      <c r="AE174" s="308"/>
      <c r="AF174" s="308"/>
      <c r="AG174" s="308"/>
      <c r="AH174" s="308"/>
      <c r="AI174" s="308"/>
      <c r="AJ174" s="308"/>
      <c r="AK174" s="308"/>
      <c r="AL174" s="308"/>
      <c r="AM174" s="308"/>
      <c r="AN174" s="309"/>
      <c r="AO174" s="309"/>
      <c r="AP174" s="309"/>
      <c r="AQ174" s="309"/>
    </row>
    <row r="175" spans="1:81" s="81" customFormat="1" x14ac:dyDescent="0.25">
      <c r="A175" s="310"/>
      <c r="B175" s="310"/>
      <c r="C175" s="310"/>
      <c r="D175" s="310"/>
      <c r="E175" s="310"/>
      <c r="F175" s="310"/>
      <c r="G175" s="310"/>
      <c r="H175" s="310"/>
      <c r="I175" s="310"/>
      <c r="J175" s="310"/>
      <c r="K175" s="310"/>
      <c r="L175" s="310"/>
      <c r="M175" s="310"/>
      <c r="N175" s="310"/>
      <c r="O175" s="310"/>
      <c r="P175" s="310"/>
      <c r="Q175" s="310"/>
      <c r="R175" s="310"/>
      <c r="S175" s="310"/>
      <c r="T175" s="310"/>
      <c r="U175" s="310"/>
      <c r="V175" s="310"/>
      <c r="W175" s="310"/>
      <c r="X175" s="310"/>
      <c r="Y175" s="310"/>
      <c r="Z175" s="310"/>
      <c r="AA175" s="310"/>
      <c r="AB175" s="310"/>
      <c r="AC175" s="310"/>
      <c r="AD175" s="310"/>
      <c r="AE175" s="310"/>
      <c r="AF175" s="310"/>
      <c r="AG175" s="310"/>
      <c r="AH175" s="310"/>
      <c r="AI175" s="310"/>
      <c r="AJ175" s="310"/>
      <c r="AK175" s="310"/>
      <c r="AL175" s="310"/>
      <c r="AM175" s="310"/>
      <c r="AN175" s="310"/>
      <c r="AO175" s="310"/>
      <c r="AP175" s="310"/>
      <c r="AQ175" s="310"/>
      <c r="AR175" s="310"/>
    </row>
    <row r="176" spans="1:81" ht="21" thickBot="1" x14ac:dyDescent="0.4">
      <c r="A176" s="314" t="s">
        <v>94</v>
      </c>
      <c r="B176" s="314"/>
      <c r="C176" s="314"/>
      <c r="D176" s="314"/>
      <c r="E176" s="314"/>
      <c r="F176" s="314"/>
      <c r="G176" s="314"/>
      <c r="H176" s="314"/>
      <c r="I176" s="314"/>
      <c r="J176" s="314"/>
      <c r="K176" s="314"/>
      <c r="L176" s="314"/>
      <c r="M176" s="314"/>
      <c r="N176" s="314"/>
      <c r="O176" s="314"/>
      <c r="P176" s="314"/>
      <c r="Q176" s="314"/>
      <c r="R176" s="314"/>
      <c r="S176" s="314"/>
      <c r="T176" s="314"/>
      <c r="U176" s="314"/>
      <c r="V176" s="314"/>
      <c r="W176" s="314"/>
      <c r="X176" s="314"/>
      <c r="Y176" s="314"/>
      <c r="Z176" s="314"/>
      <c r="AA176" s="314"/>
      <c r="AB176" s="314"/>
      <c r="AC176" s="314"/>
      <c r="AD176" s="314"/>
      <c r="AE176" s="314"/>
      <c r="AF176" s="314"/>
      <c r="AG176" s="314"/>
      <c r="AH176" s="314"/>
      <c r="AI176" s="314"/>
      <c r="AJ176" s="314"/>
      <c r="AK176" s="314"/>
      <c r="AL176" s="314"/>
      <c r="AM176" s="314"/>
      <c r="AN176" s="314"/>
      <c r="AO176" s="314"/>
      <c r="AP176" s="314"/>
      <c r="AQ176" s="314"/>
    </row>
    <row r="177" spans="1:53" ht="13.8" thickBot="1" x14ac:dyDescent="0.3">
      <c r="A177" s="315" t="s">
        <v>95</v>
      </c>
      <c r="B177" s="317" t="s">
        <v>96</v>
      </c>
      <c r="C177" s="318"/>
      <c r="D177" s="318"/>
      <c r="E177" s="318"/>
      <c r="F177" s="318"/>
      <c r="G177" s="318"/>
      <c r="H177" s="318"/>
      <c r="I177" s="318"/>
      <c r="J177" s="318"/>
      <c r="K177" s="319"/>
      <c r="L177" s="317" t="s">
        <v>97</v>
      </c>
      <c r="M177" s="318"/>
      <c r="N177" s="318"/>
      <c r="O177" s="318"/>
      <c r="P177" s="318"/>
      <c r="Q177" s="318"/>
      <c r="R177" s="318"/>
      <c r="S177" s="318"/>
      <c r="T177" s="318"/>
      <c r="U177" s="319"/>
      <c r="V177" s="317" t="s">
        <v>98</v>
      </c>
      <c r="W177" s="318"/>
      <c r="X177" s="318"/>
      <c r="Y177" s="318"/>
      <c r="Z177" s="318"/>
      <c r="AA177" s="318"/>
      <c r="AB177" s="318"/>
      <c r="AC177" s="318"/>
      <c r="AD177" s="318"/>
      <c r="AE177" s="319"/>
      <c r="AF177" s="317" t="s">
        <v>99</v>
      </c>
      <c r="AG177" s="318"/>
      <c r="AH177" s="318"/>
      <c r="AI177" s="318"/>
      <c r="AJ177" s="318"/>
      <c r="AK177" s="318"/>
      <c r="AL177" s="318"/>
      <c r="AM177" s="318"/>
      <c r="AN177" s="318"/>
      <c r="AO177" s="319"/>
    </row>
    <row r="178" spans="1:53" ht="13.8" thickBot="1" x14ac:dyDescent="0.3">
      <c r="A178" s="316"/>
      <c r="B178" s="320" t="s">
        <v>8</v>
      </c>
      <c r="C178" s="321"/>
      <c r="D178" s="321"/>
      <c r="E178" s="321"/>
      <c r="F178" s="321"/>
      <c r="G178" s="322"/>
      <c r="H178" s="320" t="s">
        <v>100</v>
      </c>
      <c r="I178" s="321"/>
      <c r="J178" s="321"/>
      <c r="K178" s="322"/>
      <c r="L178" s="320" t="s">
        <v>8</v>
      </c>
      <c r="M178" s="321"/>
      <c r="N178" s="321"/>
      <c r="O178" s="321"/>
      <c r="P178" s="321"/>
      <c r="Q178" s="322"/>
      <c r="R178" s="320" t="s">
        <v>100</v>
      </c>
      <c r="S178" s="321"/>
      <c r="T178" s="321"/>
      <c r="U178" s="322"/>
      <c r="V178" s="320" t="s">
        <v>8</v>
      </c>
      <c r="W178" s="321"/>
      <c r="X178" s="321"/>
      <c r="Y178" s="321"/>
      <c r="Z178" s="321"/>
      <c r="AA178" s="322"/>
      <c r="AB178" s="320" t="s">
        <v>100</v>
      </c>
      <c r="AC178" s="321"/>
      <c r="AD178" s="321"/>
      <c r="AE178" s="322"/>
      <c r="AF178" s="320" t="s">
        <v>8</v>
      </c>
      <c r="AG178" s="321"/>
      <c r="AH178" s="321"/>
      <c r="AI178" s="321"/>
      <c r="AJ178" s="321"/>
      <c r="AK178" s="322"/>
      <c r="AL178" s="320" t="s">
        <v>100</v>
      </c>
      <c r="AM178" s="321"/>
      <c r="AN178" s="321"/>
      <c r="AO178" s="322"/>
    </row>
    <row r="179" spans="1:53" x14ac:dyDescent="0.25">
      <c r="A179" s="99" t="s">
        <v>101</v>
      </c>
      <c r="B179" s="323" t="str">
        <f>IF($AG$8=1,$E$8,IF($AG$10=1,$E$10,IF($AG$12=1,$E$12,IF($AG$14=1,$E$14,IF($AG$16=1,$E$16,"1st Place "&amp;$A179)))))</f>
        <v>C1VB Juniors Royal</v>
      </c>
      <c r="C179" s="324"/>
      <c r="D179" s="324"/>
      <c r="E179" s="324"/>
      <c r="F179" s="324"/>
      <c r="G179" s="324"/>
      <c r="H179" s="325" t="str">
        <f>IF($AG$8=1,$E$9,IF($AG$10=1,$E$11,IF($AG$12=1,$E$13,IF($AG$14=1,$E$15,IF($AG$16=1,$E$17,"1st Place "&amp;$A179)))))</f>
        <v>fj2crone7pm</v>
      </c>
      <c r="I179" s="325"/>
      <c r="J179" s="325"/>
      <c r="K179" s="326"/>
      <c r="L179" s="323" t="str">
        <f>IF($AG$8=2,$E$8,IF($AG$10=2,$E$10,IF($AG$12=2,$E$12,IF($AG$14=2,$E$14,IF($AG$16=2,$E$16,"2nd Place "&amp;$A179)))))</f>
        <v>Intense kids power col</v>
      </c>
      <c r="M179" s="324"/>
      <c r="N179" s="324"/>
      <c r="O179" s="324"/>
      <c r="P179" s="324"/>
      <c r="Q179" s="324"/>
      <c r="R179" s="325" t="str">
        <f>IF($AG$8=2,$E$9,IF($AG$10=2,$E$11,IF($AG$12=2,$E$13,IF($AG$14=2,$E$15,IF($AG$16=2,$E$17,"2nd Place "&amp;$A179)))))</f>
        <v>fj2inten3pm</v>
      </c>
      <c r="S179" s="325"/>
      <c r="T179" s="325"/>
      <c r="U179" s="326"/>
      <c r="V179" s="323" t="str">
        <f>IF($AG$8=3,$E$8,IF($AG$10=3,$E$10,IF($AG$12=3,$E$12,IF($AG$14=3,$E$14,IF($AG$16=3,$E$16,"3rd Place "&amp;$A179)))))</f>
        <v>Foothills Vanessa</v>
      </c>
      <c r="W179" s="324"/>
      <c r="X179" s="324"/>
      <c r="Y179" s="324"/>
      <c r="Z179" s="324"/>
      <c r="AA179" s="324"/>
      <c r="AB179" s="325" t="str">
        <f>IF($AG$8=3,$E$9,IF($AG$10=3,$E$11,IF($AG$12=3,$E$13,IF($AG$14=3,$E$15,IF($AG$16=3,$E$17,"3rd Place "&amp;$A179)))))</f>
        <v>fj2footh2pm</v>
      </c>
      <c r="AC179" s="325"/>
      <c r="AD179" s="325"/>
      <c r="AE179" s="326"/>
      <c r="AF179" s="323" t="str">
        <f>IF($AG$8=4,$E$8,IF($AG$10=4,$E$10,IF($AG$12=4,$E$12,IF($AG$14=4,$E$14,IF($AG$16=4,$E$16,"4th Place "&amp;$A179)))))</f>
        <v>MOTO 12'1</v>
      </c>
      <c r="AG179" s="324"/>
      <c r="AH179" s="324"/>
      <c r="AI179" s="324"/>
      <c r="AJ179" s="324"/>
      <c r="AK179" s="324"/>
      <c r="AL179" s="325" t="str">
        <f>IF($AG$8=4,$E$9,IF($AG$10=4,$E$11,IF($AG$12=4,$E$13,IF($AG$14=4,$E$15,IF($AG$16=4,$E$17,"4th Place "&amp;$A179)))))</f>
        <v>fj1motoj1pm</v>
      </c>
      <c r="AM179" s="325"/>
      <c r="AN179" s="325"/>
      <c r="AO179" s="326"/>
    </row>
    <row r="180" spans="1:53" ht="13.8" thickBot="1" x14ac:dyDescent="0.3">
      <c r="A180" s="100" t="s">
        <v>102</v>
      </c>
      <c r="B180" s="327" t="str">
        <f>IF($AG$93=1,$E$93,IF($AG$95=1,$E$95,IF($AG$97=1,$E$97,IF($AG$99=1,$E$99,IF($AG$101=1,$E$101,"1st Place "&amp;$A180)))))</f>
        <v>SC Midlands KP Boys</v>
      </c>
      <c r="C180" s="328"/>
      <c r="D180" s="328"/>
      <c r="E180" s="328"/>
      <c r="F180" s="328"/>
      <c r="G180" s="328"/>
      <c r="H180" s="329" t="str">
        <f>IF($AG$93=1,$E$94,IF($AG$95=1,$E$96,IF($AG$97=1,$E$98,IF($AG$99=1,$E$100,IF($AG$101=1,$E$102,"1st Place "&amp;$A180)))))</f>
        <v>fj2scmid3pm</v>
      </c>
      <c r="I180" s="329"/>
      <c r="J180" s="329"/>
      <c r="K180" s="330"/>
      <c r="L180" s="327" t="str">
        <f>IF($AG$93=2,$E$93,IF($AG$95=2,$E$95,IF($AG$97=2,$E$97,IF($AG$99=2,$E$99,IF($AG$101=2,$E$101,"2nd Place "&amp;$A180)))))</f>
        <v>SC Midlands KP White</v>
      </c>
      <c r="M180" s="328"/>
      <c r="N180" s="328"/>
      <c r="O180" s="328"/>
      <c r="P180" s="328"/>
      <c r="Q180" s="328"/>
      <c r="R180" s="329" t="str">
        <f>IF($AG$93=2,$E$94,IF($AG$95=2,$E$96,IF($AG$97=2,$E$98,IF($AG$99=2,$E$100,IF($AG$101=2,$E$102,"2nd Place "&amp;$A180)))))</f>
        <v>fj2scmid2pm</v>
      </c>
      <c r="S180" s="329"/>
      <c r="T180" s="329"/>
      <c r="U180" s="330"/>
      <c r="V180" s="327" t="str">
        <f>IF($AG$93=3,$E$93,IF($AG$95=3,$E$95,IF($AG$97=3,$E$97,IF($AG$99=3,$E$99,IF($AG$101=3,$E$101,"3rd Place "&amp;$A180)))))</f>
        <v>C1VB Juniors Grey</v>
      </c>
      <c r="W180" s="328"/>
      <c r="X180" s="328"/>
      <c r="Y180" s="328"/>
      <c r="Z180" s="328"/>
      <c r="AA180" s="328"/>
      <c r="AB180" s="329" t="str">
        <f>IF($AG$93=3,$E$94,IF($AG$95=3,$E$96,IF($AG$97=3,$E$98,IF($AG$99=3,$E$100,IF($AG$101=3,$E$102,"3rd Place "&amp;$A180)))))</f>
        <v>fj2crone8pm</v>
      </c>
      <c r="AC180" s="329"/>
      <c r="AD180" s="329"/>
      <c r="AE180" s="330"/>
      <c r="AF180" s="331"/>
      <c r="AG180" s="332"/>
      <c r="AH180" s="332"/>
      <c r="AI180" s="332"/>
      <c r="AJ180" s="332"/>
      <c r="AK180" s="332"/>
      <c r="AL180" s="337"/>
      <c r="AM180" s="337"/>
      <c r="AN180" s="337"/>
      <c r="AO180" s="338"/>
    </row>
    <row r="181" spans="1:53" s="3" customFormat="1" x14ac:dyDescent="0.25">
      <c r="A181" s="101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102"/>
      <c r="AH181" s="102"/>
      <c r="AI181" s="102"/>
      <c r="AJ181" s="102"/>
      <c r="AK181" s="102"/>
      <c r="AL181" s="102"/>
      <c r="AM181" s="102"/>
      <c r="AN181" s="102"/>
      <c r="AO181" s="102"/>
      <c r="AZ181"/>
      <c r="BA181"/>
    </row>
    <row r="182" spans="1:53" ht="15.6" x14ac:dyDescent="0.3">
      <c r="A182" s="339" t="s">
        <v>103</v>
      </c>
      <c r="B182" s="339"/>
      <c r="C182" s="339"/>
      <c r="D182" s="339"/>
      <c r="E182" s="339"/>
      <c r="F182" s="339"/>
      <c r="G182" s="339"/>
      <c r="H182" s="339"/>
      <c r="I182" s="339"/>
      <c r="J182" s="339"/>
      <c r="K182" s="339"/>
      <c r="L182" s="339"/>
      <c r="M182" s="339"/>
      <c r="N182" s="339"/>
      <c r="O182" s="339"/>
      <c r="P182" s="339"/>
      <c r="Q182" s="339"/>
      <c r="R182" s="339"/>
      <c r="S182" s="339"/>
      <c r="T182" s="339"/>
      <c r="U182" s="339"/>
      <c r="V182" s="339"/>
      <c r="W182" s="339"/>
      <c r="X182" s="339"/>
      <c r="Y182" s="339"/>
      <c r="Z182" s="339"/>
      <c r="AA182" s="339"/>
      <c r="AB182" s="339"/>
      <c r="AC182" s="339"/>
      <c r="AD182" s="339"/>
      <c r="AE182" s="339"/>
      <c r="AF182" s="339"/>
      <c r="AG182" s="339"/>
      <c r="AH182" s="339"/>
      <c r="AI182" s="339"/>
      <c r="AJ182" s="339"/>
      <c r="AK182" s="339"/>
      <c r="AL182" s="339"/>
      <c r="AM182" s="339"/>
      <c r="AN182" s="339"/>
      <c r="AO182" s="339"/>
      <c r="AP182" s="339"/>
      <c r="AQ182" s="339"/>
      <c r="AT182" s="103"/>
      <c r="AU182" s="103"/>
    </row>
    <row r="183" spans="1:53" ht="17.399999999999999" x14ac:dyDescent="0.3">
      <c r="A183" s="340" t="s">
        <v>104</v>
      </c>
      <c r="B183" s="340"/>
      <c r="C183" s="340"/>
      <c r="D183" s="340"/>
      <c r="E183" s="340"/>
      <c r="F183" s="340"/>
      <c r="G183" s="340"/>
      <c r="H183" s="340"/>
      <c r="I183" s="340"/>
      <c r="J183" s="340"/>
      <c r="K183" s="340"/>
      <c r="L183" s="340"/>
      <c r="M183" s="340"/>
      <c r="N183" s="340"/>
      <c r="O183" s="340"/>
      <c r="P183" s="340"/>
      <c r="Q183" s="340"/>
      <c r="R183" s="340"/>
      <c r="S183" s="340"/>
      <c r="T183" s="340"/>
      <c r="U183" s="340"/>
      <c r="V183" s="340"/>
      <c r="W183" s="340"/>
      <c r="X183" s="340"/>
      <c r="Y183" s="340"/>
      <c r="Z183" s="340"/>
      <c r="AA183" s="340"/>
      <c r="AB183" s="340"/>
      <c r="AC183" s="340"/>
      <c r="AD183" s="340"/>
      <c r="AE183" s="340"/>
      <c r="AF183" s="340"/>
      <c r="AG183" s="340"/>
      <c r="AH183" s="340"/>
      <c r="AI183" s="340"/>
      <c r="AJ183" s="340"/>
      <c r="AK183" s="340"/>
      <c r="AL183" s="340"/>
      <c r="AM183" s="340"/>
      <c r="AN183" s="340"/>
      <c r="AO183" s="340"/>
      <c r="AP183" s="340"/>
      <c r="AQ183" s="340"/>
      <c r="AR183" s="340"/>
    </row>
    <row r="184" spans="1:53" x14ac:dyDescent="0.25">
      <c r="A184" s="341"/>
      <c r="B184" s="341"/>
      <c r="C184" s="341"/>
      <c r="D184" s="341"/>
      <c r="E184" s="341"/>
      <c r="F184" s="341"/>
      <c r="G184" s="341"/>
      <c r="H184" s="341"/>
      <c r="I184" s="341"/>
      <c r="J184" s="341"/>
      <c r="K184" s="341"/>
      <c r="L184" s="341"/>
      <c r="M184" s="341"/>
      <c r="N184" s="341"/>
      <c r="O184" s="341"/>
      <c r="P184" s="341"/>
      <c r="Q184" s="341"/>
      <c r="R184" s="341"/>
      <c r="S184" s="341"/>
      <c r="T184" s="341"/>
      <c r="U184" s="341"/>
      <c r="V184" s="341"/>
      <c r="W184" s="341"/>
      <c r="X184" s="341"/>
      <c r="Y184" s="341"/>
      <c r="Z184" s="341"/>
      <c r="AA184" s="341"/>
      <c r="AB184" s="341"/>
      <c r="AC184" s="341"/>
      <c r="AD184" s="341"/>
      <c r="AE184" s="341"/>
      <c r="AF184" s="341"/>
      <c r="AG184" s="341"/>
      <c r="AH184" s="341"/>
      <c r="AI184" s="341"/>
      <c r="AJ184" s="341"/>
      <c r="AK184" s="341"/>
      <c r="AL184" s="341"/>
      <c r="AM184" s="341"/>
      <c r="AN184" s="341"/>
      <c r="AO184" s="341"/>
      <c r="AP184" s="341"/>
      <c r="AQ184" s="341"/>
      <c r="AR184" s="341"/>
    </row>
    <row r="185" spans="1:53" x14ac:dyDescent="0.25">
      <c r="A185" s="341"/>
      <c r="B185" s="341"/>
      <c r="C185" s="341"/>
      <c r="D185" s="341"/>
      <c r="E185" s="341"/>
      <c r="F185" s="341"/>
      <c r="G185" s="341"/>
      <c r="H185" s="341"/>
      <c r="I185" s="341"/>
      <c r="J185" s="341"/>
      <c r="K185" s="341"/>
      <c r="L185" s="341"/>
      <c r="M185" s="341"/>
      <c r="N185" s="341"/>
      <c r="O185" s="341"/>
      <c r="P185" s="341"/>
      <c r="Q185" s="341"/>
      <c r="R185" s="341"/>
      <c r="S185" s="341"/>
      <c r="T185" s="341"/>
      <c r="U185" s="341"/>
      <c r="V185" s="341"/>
      <c r="W185" s="341"/>
      <c r="X185" s="341"/>
      <c r="Y185" s="341"/>
      <c r="Z185" s="341"/>
      <c r="AA185" s="341"/>
      <c r="AB185" s="341"/>
      <c r="AC185" s="341"/>
      <c r="AD185" s="341"/>
      <c r="AE185" s="341"/>
      <c r="AF185" s="341"/>
      <c r="AG185" s="341"/>
      <c r="AH185" s="341"/>
      <c r="AI185" s="341"/>
      <c r="AJ185" s="341"/>
      <c r="AK185" s="341"/>
      <c r="AL185" s="341"/>
      <c r="AM185" s="341"/>
      <c r="AN185" s="341"/>
      <c r="AO185" s="341"/>
      <c r="AP185" s="341"/>
      <c r="AQ185" s="341"/>
      <c r="AR185" s="341"/>
    </row>
    <row r="186" spans="1:53" x14ac:dyDescent="0.25">
      <c r="A186" s="342" t="s">
        <v>105</v>
      </c>
      <c r="B186" s="342"/>
      <c r="C186" s="342"/>
      <c r="D186" s="342"/>
      <c r="E186" s="342"/>
      <c r="F186" s="342"/>
      <c r="G186" s="342"/>
      <c r="H186" s="342"/>
      <c r="I186" s="342"/>
      <c r="J186" s="342"/>
      <c r="K186" s="342"/>
      <c r="L186" s="342"/>
      <c r="M186" s="104"/>
    </row>
    <row r="187" spans="1:53" x14ac:dyDescent="0.25">
      <c r="C187" s="3"/>
      <c r="D187" s="3"/>
      <c r="E187" s="3"/>
      <c r="M187" s="104"/>
    </row>
    <row r="188" spans="1:53" x14ac:dyDescent="0.25">
      <c r="A188" s="309" t="s">
        <v>106</v>
      </c>
      <c r="B188" s="309"/>
      <c r="C188" s="309"/>
      <c r="D188" s="309"/>
      <c r="E188" s="309"/>
      <c r="F188" s="309"/>
      <c r="G188" s="309"/>
      <c r="H188" s="309"/>
      <c r="I188" s="309"/>
      <c r="J188" s="309"/>
      <c r="K188" s="309"/>
      <c r="L188" s="309"/>
      <c r="M188" s="309"/>
      <c r="N188" s="309"/>
      <c r="O188" s="309"/>
      <c r="P188" s="309"/>
      <c r="Q188" s="82"/>
      <c r="S188" s="309" t="s">
        <v>107</v>
      </c>
      <c r="T188" s="309"/>
      <c r="U188" s="309"/>
      <c r="V188" s="309"/>
      <c r="W188" s="309"/>
      <c r="X188" s="309"/>
      <c r="Y188" s="309"/>
      <c r="Z188" s="309"/>
      <c r="AA188" s="309"/>
      <c r="AB188" s="309"/>
      <c r="AC188" s="309"/>
      <c r="AD188" s="309"/>
      <c r="AE188" s="309"/>
      <c r="AF188" s="309"/>
      <c r="AG188" s="309"/>
    </row>
    <row r="190" spans="1:53" ht="13.8" thickBot="1" x14ac:dyDescent="0.3">
      <c r="A190" s="333" t="str">
        <f>IF(B218=1,B210,IF(B218=2,B211,IF(B218=3,B212,IF(B218=4,B213,IF(OR(B218="B",B218="b"),"BYE","invalid")))))</f>
        <v>C1VB Juniors Royal</v>
      </c>
      <c r="B190" s="333"/>
      <c r="C190" s="333"/>
      <c r="D190" s="333"/>
      <c r="E190" s="333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T190" s="106"/>
      <c r="U190" s="106"/>
      <c r="V190" s="333" t="str">
        <f>IF(X218=1,Y210,IF(X218=2,Y211,IF(X218=3,Y212,IF(X218=4,Y213,IF(OR(X218="B",X218="b"),"BYE","invalid")))))</f>
        <v>Foothills Vanessa</v>
      </c>
      <c r="W190" s="333"/>
      <c r="X190" s="333"/>
      <c r="Y190" s="333"/>
      <c r="Z190" s="333"/>
      <c r="AA190" s="333"/>
      <c r="AB190" s="333"/>
      <c r="AC190" s="105"/>
      <c r="AD190" s="105"/>
      <c r="AE190" s="105"/>
      <c r="AF190" s="105"/>
    </row>
    <row r="191" spans="1:53" x14ac:dyDescent="0.25">
      <c r="A191" s="334" t="s">
        <v>108</v>
      </c>
      <c r="B191" s="334"/>
      <c r="C191" s="334"/>
      <c r="D191" s="334"/>
      <c r="E191" s="334"/>
      <c r="F191" s="107"/>
      <c r="G191" s="105"/>
      <c r="H191" s="105"/>
      <c r="I191" s="105"/>
      <c r="J191" s="105"/>
      <c r="K191" s="105"/>
      <c r="L191" s="105"/>
      <c r="M191" s="105"/>
      <c r="N191" s="105"/>
      <c r="O191" s="105"/>
      <c r="T191" s="108"/>
      <c r="U191" s="108"/>
      <c r="V191" s="335"/>
      <c r="W191" s="335"/>
      <c r="X191" s="335"/>
      <c r="Y191" s="335"/>
      <c r="Z191" s="335"/>
      <c r="AA191" s="335"/>
      <c r="AB191" s="336"/>
      <c r="AC191" s="105"/>
      <c r="AD191" s="105"/>
      <c r="AE191" s="105"/>
      <c r="AF191" s="105"/>
    </row>
    <row r="192" spans="1:53" x14ac:dyDescent="0.25">
      <c r="A192" s="105"/>
      <c r="B192" s="105"/>
      <c r="C192" s="105"/>
      <c r="D192" s="105"/>
      <c r="E192" s="105"/>
      <c r="F192" s="107"/>
      <c r="G192" s="105"/>
      <c r="H192" s="105"/>
      <c r="I192" s="105"/>
      <c r="J192" s="105"/>
      <c r="K192" s="105"/>
      <c r="L192" s="105"/>
      <c r="M192" s="105"/>
      <c r="N192" s="105"/>
      <c r="O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9"/>
      <c r="AC192" s="105"/>
      <c r="AD192" s="105"/>
      <c r="AE192" s="105"/>
      <c r="AF192" s="105"/>
    </row>
    <row r="193" spans="1:53" ht="13.8" thickBot="1" x14ac:dyDescent="0.3">
      <c r="A193" s="349" t="str">
        <f>B212&amp;" ref"</f>
        <v>Intense kids power col ref</v>
      </c>
      <c r="B193" s="349"/>
      <c r="C193" s="349"/>
      <c r="D193" s="349"/>
      <c r="E193" s="350"/>
      <c r="F193" s="351" t="str">
        <f>IF(H218=1,B210,IF(H218=2,B211,IF(H218=3,B212,IF(H218=4,B213,"Winner Match 1"))))</f>
        <v>Winner Match 1</v>
      </c>
      <c r="G193" s="352"/>
      <c r="H193" s="352"/>
      <c r="I193" s="352"/>
      <c r="J193" s="352"/>
      <c r="K193" s="352"/>
      <c r="L193" s="352"/>
      <c r="M193" s="352"/>
      <c r="N193" s="352"/>
      <c r="O193" s="105"/>
      <c r="Q193" s="110"/>
      <c r="R193" s="110"/>
      <c r="S193" s="110"/>
      <c r="T193" s="110"/>
      <c r="U193" s="347"/>
      <c r="V193" s="347"/>
      <c r="W193" s="347"/>
      <c r="X193" s="347"/>
      <c r="Y193" s="347"/>
      <c r="Z193" s="347"/>
      <c r="AA193" s="347"/>
      <c r="AB193" s="109"/>
      <c r="AC193" s="351" t="str">
        <f>IF(AD218=1,Y210,IF(AD218=2,Y211,IF(AD218=3,Y212,IF(AD218=4,Y213,"Winner Match 1"))))</f>
        <v>Foothills Vanessa</v>
      </c>
      <c r="AD193" s="352"/>
      <c r="AE193" s="352"/>
      <c r="AF193" s="352"/>
      <c r="AG193" s="352"/>
      <c r="AH193" s="352"/>
      <c r="AI193" s="352"/>
    </row>
    <row r="194" spans="1:53" x14ac:dyDescent="0.25">
      <c r="A194" s="353" t="s">
        <v>109</v>
      </c>
      <c r="B194" s="353"/>
      <c r="C194" s="353"/>
      <c r="D194" s="353"/>
      <c r="E194" s="353"/>
      <c r="F194" s="354"/>
      <c r="G194" s="355"/>
      <c r="H194" s="355"/>
      <c r="I194" s="356"/>
      <c r="J194" s="357"/>
      <c r="K194" s="358"/>
      <c r="L194" s="358"/>
      <c r="M194" s="358"/>
      <c r="N194" s="358"/>
      <c r="O194" s="105"/>
      <c r="P194" s="105"/>
      <c r="Q194" s="111"/>
      <c r="R194" s="5"/>
      <c r="S194" s="112"/>
      <c r="T194" s="112"/>
      <c r="U194" s="359"/>
      <c r="V194" s="359"/>
      <c r="W194" s="359"/>
      <c r="X194" s="359"/>
      <c r="Y194" s="359"/>
      <c r="Z194" s="359"/>
      <c r="AA194" s="359"/>
      <c r="AB194" s="109"/>
      <c r="AC194" s="354"/>
      <c r="AD194" s="355"/>
      <c r="AE194" s="355"/>
      <c r="AF194" s="356"/>
      <c r="AG194" s="357"/>
      <c r="AH194" s="358"/>
      <c r="AI194" s="358"/>
    </row>
    <row r="195" spans="1:53" ht="13.8" thickBot="1" x14ac:dyDescent="0.3">
      <c r="A195" s="333" t="str">
        <f>IF(D218=1,B210,IF(D218=2,B211,IF(D218=3,B212,IF(D218=4,B213,IF(OR(D218="B",D218="b"),"BYE","invalid")))))</f>
        <v>SC Midlands KP White</v>
      </c>
      <c r="B195" s="333"/>
      <c r="C195" s="333"/>
      <c r="D195" s="333"/>
      <c r="E195" s="343"/>
      <c r="F195" s="107"/>
      <c r="G195" s="105"/>
      <c r="H195" s="105"/>
      <c r="I195" s="105"/>
      <c r="J195" s="107"/>
      <c r="K195" s="105"/>
      <c r="L195" s="105"/>
      <c r="M195" s="105"/>
      <c r="N195" s="105"/>
      <c r="O195" s="105"/>
      <c r="P195" s="105"/>
      <c r="Q195" s="105"/>
      <c r="U195" s="105"/>
      <c r="V195" s="344" t="str">
        <f>IF(Z218=1,Y210,IF(Z218=2,Y211,IF(Z218=3,Y212,IF(Z218=4,Y213,IF(OR(Z218="B",Z218="b"),"BYE","invalid")))))</f>
        <v>BYE</v>
      </c>
      <c r="W195" s="344"/>
      <c r="X195" s="344"/>
      <c r="Y195" s="344"/>
      <c r="Z195" s="344"/>
      <c r="AA195" s="344"/>
      <c r="AB195" s="345"/>
      <c r="AC195" s="105"/>
      <c r="AD195" s="105"/>
      <c r="AE195" s="105"/>
      <c r="AF195" s="109"/>
      <c r="AG195" s="105"/>
      <c r="AH195" s="105"/>
    </row>
    <row r="196" spans="1:53" x14ac:dyDescent="0.25">
      <c r="A196" s="334" t="s">
        <v>110</v>
      </c>
      <c r="B196" s="334"/>
      <c r="C196" s="334"/>
      <c r="D196" s="334"/>
      <c r="E196" s="334"/>
      <c r="F196" s="105"/>
      <c r="G196" s="105"/>
      <c r="H196" s="105"/>
      <c r="I196" s="105"/>
      <c r="J196" s="107"/>
      <c r="K196" s="105"/>
      <c r="L196" s="105"/>
      <c r="M196" s="105"/>
      <c r="N196" s="105"/>
      <c r="O196" s="105"/>
      <c r="P196" s="105"/>
      <c r="Q196" s="105"/>
      <c r="V196" s="346"/>
      <c r="W196" s="346"/>
      <c r="X196" s="346"/>
      <c r="Y196" s="346"/>
      <c r="Z196" s="346"/>
      <c r="AA196" s="346"/>
      <c r="AB196" s="346"/>
      <c r="AC196" s="105"/>
      <c r="AD196" s="105"/>
      <c r="AE196" s="105"/>
      <c r="AF196" s="109"/>
      <c r="AG196" s="105"/>
      <c r="AH196" s="105"/>
      <c r="AR196" s="113"/>
      <c r="AS196" s="113"/>
      <c r="AV196" s="113"/>
      <c r="AW196" s="113"/>
      <c r="AX196" s="113"/>
    </row>
    <row r="197" spans="1:53" x14ac:dyDescent="0.25">
      <c r="A197" s="105"/>
      <c r="B197" s="105"/>
      <c r="C197" s="105"/>
      <c r="D197" s="105"/>
      <c r="E197" s="105"/>
      <c r="F197" s="347" t="s">
        <v>111</v>
      </c>
      <c r="G197" s="347"/>
      <c r="H197" s="347"/>
      <c r="I197" s="348"/>
      <c r="J197" s="107"/>
      <c r="K197" s="105"/>
      <c r="L197" s="105"/>
      <c r="M197" s="105"/>
      <c r="N197" s="105"/>
      <c r="O197" s="105"/>
      <c r="P197" s="105"/>
      <c r="Q197" s="105"/>
      <c r="S197" s="105"/>
      <c r="T197" s="105"/>
      <c r="U197" s="105"/>
      <c r="V197" s="105"/>
      <c r="W197" s="105"/>
      <c r="X197" s="110"/>
      <c r="Y197" s="110"/>
      <c r="Z197" s="110"/>
      <c r="AB197" s="110"/>
      <c r="AC197" s="347" t="s">
        <v>111</v>
      </c>
      <c r="AD197" s="347"/>
      <c r="AE197" s="347"/>
      <c r="AF197" s="348"/>
      <c r="AG197" s="105"/>
      <c r="AH197" s="105"/>
    </row>
    <row r="198" spans="1:53" ht="13.8" thickBot="1" x14ac:dyDescent="0.3">
      <c r="A198" s="105"/>
      <c r="B198" s="105"/>
      <c r="C198" s="105"/>
      <c r="D198" s="105"/>
      <c r="E198" s="105"/>
      <c r="F198" s="105"/>
      <c r="G198" s="105"/>
      <c r="H198" s="105"/>
      <c r="I198" s="105"/>
      <c r="J198" s="364" t="str">
        <f>IF(K223=1,B210,IF(K223=2,B211,IF(K223=3,B212,IF(K223=4,B213,"Division Winner"))))</f>
        <v>Division Winner</v>
      </c>
      <c r="K198" s="365"/>
      <c r="L198" s="365"/>
      <c r="M198" s="365"/>
      <c r="N198" s="365"/>
      <c r="O198" s="365"/>
      <c r="P198" s="365"/>
      <c r="Q198" s="365"/>
      <c r="R198" s="106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14"/>
      <c r="AC198" s="114"/>
      <c r="AD198" s="114"/>
      <c r="AE198" s="114"/>
      <c r="AF198" s="115"/>
      <c r="AG198" s="365" t="str">
        <f>IF(AG223=1,Y210,IF(AG223=2,Y211,IF(AG223=3,Y212,IF(AG223=4,Y213,"Division Winner"))))</f>
        <v>Division Winner</v>
      </c>
      <c r="AH198" s="365"/>
      <c r="AI198" s="365"/>
      <c r="AJ198" s="365"/>
      <c r="AK198" s="365"/>
      <c r="AL198" s="114"/>
    </row>
    <row r="199" spans="1:53" ht="13.8" thickBot="1" x14ac:dyDescent="0.3">
      <c r="A199" s="333" t="str">
        <f>IF(E218=1,B210,IF(E218=2,B211,IF(E218=3,B212,IF(E218=4,B213,IF(OR(E218="B",E218="b"),"BYE","invalid")))))</f>
        <v>SC Midlands KP Boys</v>
      </c>
      <c r="B199" s="333"/>
      <c r="C199" s="333"/>
      <c r="D199" s="333"/>
      <c r="E199" s="333"/>
      <c r="F199" s="353" t="s">
        <v>112</v>
      </c>
      <c r="G199" s="353"/>
      <c r="H199" s="353"/>
      <c r="I199" s="353"/>
      <c r="J199" s="360" t="s">
        <v>113</v>
      </c>
      <c r="K199" s="347"/>
      <c r="L199" s="347"/>
      <c r="M199" s="347"/>
      <c r="N199" s="347"/>
      <c r="O199" s="347"/>
      <c r="P199" s="347"/>
      <c r="Q199" s="347"/>
      <c r="S199" s="114"/>
      <c r="T199" s="114"/>
      <c r="U199" s="114"/>
      <c r="V199" s="333" t="str">
        <f>IF(AA218=1,Y210,IF(AA218=2,Y211,IF(AA218=3,Y212,IF(AA218=4,Y213,IF(OR(AA218="B",AA218="b"),"BYE","invalid")))))</f>
        <v>C1VB Juniors Grey</v>
      </c>
      <c r="W199" s="333"/>
      <c r="X199" s="333"/>
      <c r="Y199" s="333"/>
      <c r="Z199" s="333"/>
      <c r="AA199" s="333"/>
      <c r="AB199" s="333"/>
      <c r="AC199" s="353" t="s">
        <v>114</v>
      </c>
      <c r="AD199" s="353"/>
      <c r="AE199" s="353"/>
      <c r="AF199" s="366"/>
      <c r="AG199" s="367" t="s">
        <v>115</v>
      </c>
      <c r="AH199" s="368"/>
      <c r="AI199" s="368"/>
      <c r="AJ199" s="368"/>
      <c r="AK199" s="368"/>
    </row>
    <row r="200" spans="1:53" x14ac:dyDescent="0.25">
      <c r="A200" s="334" t="s">
        <v>116</v>
      </c>
      <c r="B200" s="334"/>
      <c r="C200" s="334"/>
      <c r="D200" s="334"/>
      <c r="E200" s="334"/>
      <c r="F200" s="107"/>
      <c r="G200" s="105"/>
      <c r="H200" s="105"/>
      <c r="I200" s="105"/>
      <c r="J200" s="360"/>
      <c r="K200" s="347"/>
      <c r="L200" s="347"/>
      <c r="M200" s="347"/>
      <c r="N200" s="347"/>
      <c r="O200" s="347"/>
      <c r="P200" s="347"/>
      <c r="Q200" s="347"/>
      <c r="R200" s="105"/>
      <c r="S200" s="113"/>
      <c r="T200" s="113"/>
      <c r="U200" s="113"/>
      <c r="V200" s="349" t="s">
        <v>117</v>
      </c>
      <c r="W200" s="349"/>
      <c r="X200" s="349"/>
      <c r="Y200" s="349"/>
      <c r="Z200" s="349"/>
      <c r="AA200" s="349"/>
      <c r="AB200" s="350"/>
      <c r="AC200" s="105"/>
      <c r="AD200" s="105"/>
      <c r="AE200" s="105"/>
      <c r="AF200" s="109"/>
      <c r="AG200" s="105"/>
      <c r="AH200" s="105"/>
    </row>
    <row r="201" spans="1:53" x14ac:dyDescent="0.25">
      <c r="A201" s="105"/>
      <c r="B201" s="105"/>
      <c r="C201" s="105"/>
      <c r="D201" s="105"/>
      <c r="E201" s="105"/>
      <c r="F201" s="107"/>
      <c r="G201" s="105"/>
      <c r="H201" s="105"/>
      <c r="I201" s="105"/>
      <c r="J201" s="107"/>
      <c r="K201" s="105"/>
      <c r="L201" s="105"/>
      <c r="M201" s="105"/>
      <c r="N201" s="105"/>
      <c r="O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9"/>
      <c r="AC201" s="107"/>
      <c r="AD201" s="105"/>
      <c r="AE201" s="105"/>
      <c r="AF201" s="109"/>
      <c r="AG201" s="105"/>
      <c r="AH201" s="105"/>
      <c r="AZ201" s="74"/>
      <c r="BA201" s="74"/>
    </row>
    <row r="202" spans="1:53" ht="13.8" thickBot="1" x14ac:dyDescent="0.3">
      <c r="A202" s="347" t="s">
        <v>118</v>
      </c>
      <c r="B202" s="347"/>
      <c r="C202" s="347"/>
      <c r="D202" s="347"/>
      <c r="E202" s="111"/>
      <c r="F202" s="361"/>
      <c r="G202" s="362"/>
      <c r="H202" s="362"/>
      <c r="I202" s="363"/>
      <c r="J202" s="357"/>
      <c r="K202" s="358"/>
      <c r="L202" s="358"/>
      <c r="M202" s="358"/>
      <c r="N202" s="358"/>
      <c r="O202" s="105"/>
      <c r="R202" s="110"/>
      <c r="S202" s="110"/>
      <c r="T202" s="110"/>
      <c r="U202" s="349" t="str">
        <f>Y210&amp;" ref"</f>
        <v>Foothills Vanessa ref</v>
      </c>
      <c r="V202" s="349"/>
      <c r="W202" s="349"/>
      <c r="X202" s="349"/>
      <c r="Y202" s="349"/>
      <c r="Z202" s="349"/>
      <c r="AA202" s="349"/>
      <c r="AB202" s="350"/>
      <c r="AC202" s="361"/>
      <c r="AD202" s="362"/>
      <c r="AE202" s="362"/>
      <c r="AF202" s="363"/>
      <c r="AG202" s="357"/>
      <c r="AH202" s="358"/>
      <c r="AI202" s="358"/>
      <c r="AZ202" s="74"/>
      <c r="BA202" s="74"/>
    </row>
    <row r="203" spans="1:53" x14ac:dyDescent="0.25">
      <c r="A203" s="353" t="s">
        <v>109</v>
      </c>
      <c r="B203" s="353"/>
      <c r="C203" s="353"/>
      <c r="D203" s="353"/>
      <c r="E203" s="366"/>
      <c r="F203" s="351" t="str">
        <f>IF(J218=1,B210,IF(J218=2,B211,IF(J218=3,B212,IF(J218=4,B213,"Winner Match 2"))))</f>
        <v>Winner Match 2</v>
      </c>
      <c r="G203" s="352"/>
      <c r="H203" s="352"/>
      <c r="I203" s="352"/>
      <c r="J203" s="352"/>
      <c r="K203" s="352"/>
      <c r="L203" s="352"/>
      <c r="M203" s="352"/>
      <c r="N203" s="352"/>
      <c r="O203" s="105"/>
      <c r="Q203" s="111"/>
      <c r="R203" s="111"/>
      <c r="T203" s="112"/>
      <c r="U203" s="353" t="s">
        <v>119</v>
      </c>
      <c r="V203" s="353"/>
      <c r="W203" s="353"/>
      <c r="X203" s="353"/>
      <c r="Y203" s="353"/>
      <c r="Z203" s="353"/>
      <c r="AA203" s="353"/>
      <c r="AB203" s="109"/>
      <c r="AC203" s="351" t="str">
        <f>IF(AF218=1,Y210,IF(AF218=2,Y211,IF(AF218=3,Y212,IF(AF218=4,Y213,"Winner Match 2"))))</f>
        <v>Winner Match 2</v>
      </c>
      <c r="AD203" s="352"/>
      <c r="AE203" s="352"/>
      <c r="AF203" s="352"/>
      <c r="AG203" s="352"/>
      <c r="AH203" s="352"/>
      <c r="AI203" s="352"/>
      <c r="AZ203" s="74"/>
      <c r="BA203" s="74"/>
    </row>
    <row r="204" spans="1:53" ht="13.8" thickBot="1" x14ac:dyDescent="0.3">
      <c r="A204" s="333" t="str">
        <f>IF(G218=1,B210,IF(G218=2,B211,IF(G218=3,B212,IF(G218=4,B213,IF(OR(G218="B",G218="b"),"BYE","invalid")))))</f>
        <v>Intense kids power col</v>
      </c>
      <c r="B204" s="333"/>
      <c r="C204" s="333"/>
      <c r="D204" s="333"/>
      <c r="E204" s="343"/>
      <c r="F204" s="107"/>
      <c r="G204" s="105"/>
      <c r="H204" s="105"/>
      <c r="I204" s="105"/>
      <c r="J204" s="105"/>
      <c r="K204" s="105"/>
      <c r="L204" s="105"/>
      <c r="M204" s="105"/>
      <c r="N204" s="105"/>
      <c r="O204" s="105"/>
      <c r="Q204" s="105"/>
      <c r="R204" s="105"/>
      <c r="S204" s="105"/>
      <c r="T204" s="114"/>
      <c r="U204" s="114"/>
      <c r="V204" s="333" t="str">
        <f>IF(AC218=1,Y210,IF(AC218=2,Y211,IF(AC218=3,Y212,IF(AC218=4,Y213,IF(OR(AC218="B",AC218="b"),"BYE","invalid")))))</f>
        <v>MOTO 12'1</v>
      </c>
      <c r="W204" s="333"/>
      <c r="X204" s="333"/>
      <c r="Y204" s="333"/>
      <c r="Z204" s="333"/>
      <c r="AA204" s="333"/>
      <c r="AB204" s="343"/>
      <c r="AC204" s="105"/>
      <c r="AD204" s="105"/>
      <c r="AE204" s="105"/>
      <c r="AF204" s="105"/>
      <c r="AZ204" s="74"/>
      <c r="BA204" s="74"/>
    </row>
    <row r="205" spans="1:53" x14ac:dyDescent="0.25">
      <c r="A205" s="334" t="s">
        <v>120</v>
      </c>
      <c r="B205" s="334"/>
      <c r="C205" s="334"/>
      <c r="D205" s="334"/>
      <c r="E205" s="334"/>
      <c r="T205" s="113"/>
      <c r="U205" s="113"/>
      <c r="V205" s="349" t="s">
        <v>121</v>
      </c>
      <c r="W205" s="349"/>
      <c r="X205" s="349"/>
      <c r="Y205" s="349"/>
      <c r="Z205" s="349"/>
      <c r="AA205" s="349"/>
      <c r="AB205" s="349"/>
      <c r="AZ205" s="74"/>
      <c r="BA205" s="74"/>
    </row>
    <row r="206" spans="1:53" x14ac:dyDescent="0.25">
      <c r="AT206" s="74"/>
      <c r="AU206" s="74"/>
      <c r="AZ206" s="74"/>
      <c r="BA206" s="74"/>
    </row>
    <row r="207" spans="1:53" x14ac:dyDescent="0.25">
      <c r="AT207" s="74"/>
      <c r="AU207" s="74"/>
      <c r="AZ207" s="74"/>
      <c r="BA207" s="74"/>
    </row>
    <row r="208" spans="1:53" ht="16.2" thickBot="1" x14ac:dyDescent="0.35">
      <c r="A208" s="369" t="s">
        <v>122</v>
      </c>
      <c r="B208" s="369"/>
      <c r="C208" s="369"/>
      <c r="D208" s="369"/>
      <c r="E208" s="369"/>
      <c r="F208" s="369"/>
      <c r="G208" s="369"/>
      <c r="H208" s="369"/>
      <c r="I208" s="369"/>
      <c r="J208" s="369"/>
      <c r="K208" s="116"/>
      <c r="R208" s="117"/>
      <c r="S208" s="117"/>
      <c r="T208" s="117"/>
      <c r="V208" s="369" t="s">
        <v>123</v>
      </c>
      <c r="W208" s="369"/>
      <c r="X208" s="369"/>
      <c r="Y208" s="369"/>
      <c r="Z208" s="369"/>
      <c r="AA208" s="369"/>
      <c r="AB208" s="369"/>
      <c r="AC208" s="369"/>
      <c r="AD208" s="369"/>
      <c r="AE208" s="369"/>
      <c r="AF208" s="369"/>
      <c r="AG208" s="369"/>
      <c r="AT208" s="74"/>
      <c r="AU208" s="74"/>
      <c r="AZ208" s="74"/>
      <c r="BA208" s="74"/>
    </row>
    <row r="209" spans="1:53" ht="13.8" thickBot="1" x14ac:dyDescent="0.3">
      <c r="A209" s="118" t="s">
        <v>124</v>
      </c>
      <c r="B209" s="370" t="s">
        <v>125</v>
      </c>
      <c r="C209" s="371"/>
      <c r="D209" s="371"/>
      <c r="E209" s="371"/>
      <c r="F209" s="371"/>
      <c r="G209" s="371"/>
      <c r="H209" s="371"/>
      <c r="I209" s="371"/>
      <c r="J209" s="372"/>
      <c r="K209" s="373" t="s">
        <v>126</v>
      </c>
      <c r="L209" s="374"/>
      <c r="M209" s="374"/>
      <c r="N209" s="374"/>
      <c r="O209" s="374"/>
      <c r="P209" s="374"/>
      <c r="Q209" s="375"/>
      <c r="R209" s="105"/>
      <c r="V209" s="376" t="s">
        <v>124</v>
      </c>
      <c r="W209" s="377"/>
      <c r="X209" s="378"/>
      <c r="Y209" s="370" t="s">
        <v>125</v>
      </c>
      <c r="Z209" s="371"/>
      <c r="AA209" s="371"/>
      <c r="AB209" s="371"/>
      <c r="AC209" s="371"/>
      <c r="AD209" s="371"/>
      <c r="AE209" s="371"/>
      <c r="AF209" s="371"/>
      <c r="AG209" s="372"/>
      <c r="AH209" s="373" t="s">
        <v>126</v>
      </c>
      <c r="AI209" s="374"/>
      <c r="AJ209" s="374"/>
      <c r="AK209" s="374"/>
      <c r="AL209" s="374"/>
      <c r="AM209" s="374"/>
      <c r="AN209" s="375"/>
      <c r="AT209" s="74"/>
      <c r="AU209" s="74"/>
      <c r="AZ209" s="74"/>
      <c r="BA209" s="74"/>
    </row>
    <row r="210" spans="1:53" ht="13.8" thickBot="1" x14ac:dyDescent="0.3">
      <c r="A210" s="118">
        <v>1</v>
      </c>
      <c r="B210" s="379" t="str">
        <f>B179</f>
        <v>C1VB Juniors Royal</v>
      </c>
      <c r="C210" s="380"/>
      <c r="D210" s="380"/>
      <c r="E210" s="380"/>
      <c r="F210" s="380"/>
      <c r="G210" s="380"/>
      <c r="H210" s="380"/>
      <c r="I210" s="380"/>
      <c r="J210" s="381"/>
      <c r="K210" s="382" t="str">
        <f>H179</f>
        <v>fj2crone7pm</v>
      </c>
      <c r="L210" s="383"/>
      <c r="M210" s="383"/>
      <c r="N210" s="383"/>
      <c r="O210" s="383"/>
      <c r="P210" s="383"/>
      <c r="Q210" s="384"/>
      <c r="R210" s="105"/>
      <c r="V210" s="376">
        <v>1</v>
      </c>
      <c r="W210" s="377"/>
      <c r="X210" s="378"/>
      <c r="Y210" s="379" t="str">
        <f>V179</f>
        <v>Foothills Vanessa</v>
      </c>
      <c r="Z210" s="380"/>
      <c r="AA210" s="380"/>
      <c r="AB210" s="380"/>
      <c r="AC210" s="380"/>
      <c r="AD210" s="380"/>
      <c r="AE210" s="380"/>
      <c r="AF210" s="380"/>
      <c r="AG210" s="381"/>
      <c r="AH210" s="382" t="str">
        <f>AB179</f>
        <v>fj2footh2pm</v>
      </c>
      <c r="AI210" s="383"/>
      <c r="AJ210" s="383"/>
      <c r="AK210" s="383"/>
      <c r="AL210" s="383"/>
      <c r="AM210" s="383"/>
      <c r="AN210" s="384"/>
      <c r="AT210" s="74"/>
      <c r="AU210" s="74"/>
      <c r="AZ210" s="74"/>
      <c r="BA210" s="74"/>
    </row>
    <row r="211" spans="1:53" ht="13.8" thickBot="1" x14ac:dyDescent="0.3">
      <c r="A211" s="118">
        <v>2</v>
      </c>
      <c r="B211" s="379" t="str">
        <f>B180</f>
        <v>SC Midlands KP Boys</v>
      </c>
      <c r="C211" s="380"/>
      <c r="D211" s="380"/>
      <c r="E211" s="380"/>
      <c r="F211" s="380"/>
      <c r="G211" s="380"/>
      <c r="H211" s="380"/>
      <c r="I211" s="380"/>
      <c r="J211" s="381"/>
      <c r="K211" s="382" t="str">
        <f>H180</f>
        <v>fj2scmid3pm</v>
      </c>
      <c r="L211" s="383"/>
      <c r="M211" s="383"/>
      <c r="N211" s="383"/>
      <c r="O211" s="383"/>
      <c r="P211" s="383"/>
      <c r="Q211" s="384"/>
      <c r="R211" s="105"/>
      <c r="V211" s="376">
        <v>2</v>
      </c>
      <c r="W211" s="377"/>
      <c r="X211" s="378"/>
      <c r="Y211" s="379" t="str">
        <f>V180</f>
        <v>C1VB Juniors Grey</v>
      </c>
      <c r="Z211" s="380"/>
      <c r="AA211" s="380"/>
      <c r="AB211" s="380"/>
      <c r="AC211" s="380"/>
      <c r="AD211" s="380"/>
      <c r="AE211" s="380"/>
      <c r="AF211" s="380"/>
      <c r="AG211" s="381"/>
      <c r="AH211" s="382" t="str">
        <f>AB180</f>
        <v>fj2crone8pm</v>
      </c>
      <c r="AI211" s="383"/>
      <c r="AJ211" s="383"/>
      <c r="AK211" s="383"/>
      <c r="AL211" s="383"/>
      <c r="AM211" s="383"/>
      <c r="AN211" s="384"/>
      <c r="AT211" s="74"/>
      <c r="AU211" s="74"/>
      <c r="AZ211" s="74"/>
      <c r="BA211" s="74"/>
    </row>
    <row r="212" spans="1:53" ht="13.8" thickBot="1" x14ac:dyDescent="0.3">
      <c r="A212" s="118">
        <v>3</v>
      </c>
      <c r="B212" s="379" t="str">
        <f>L179</f>
        <v>Intense kids power col</v>
      </c>
      <c r="C212" s="380"/>
      <c r="D212" s="380"/>
      <c r="E212" s="380"/>
      <c r="F212" s="380"/>
      <c r="G212" s="380"/>
      <c r="H212" s="380"/>
      <c r="I212" s="380"/>
      <c r="J212" s="381"/>
      <c r="K212" s="382" t="str">
        <f>R179</f>
        <v>fj2inten3pm</v>
      </c>
      <c r="L212" s="383"/>
      <c r="M212" s="383"/>
      <c r="N212" s="383"/>
      <c r="O212" s="383"/>
      <c r="P212" s="383"/>
      <c r="Q212" s="384"/>
      <c r="R212" s="105"/>
      <c r="V212" s="376">
        <v>3</v>
      </c>
      <c r="W212" s="377"/>
      <c r="X212" s="378"/>
      <c r="Y212" s="379" t="str">
        <f>AF179</f>
        <v>MOTO 12'1</v>
      </c>
      <c r="Z212" s="380"/>
      <c r="AA212" s="380"/>
      <c r="AB212" s="380"/>
      <c r="AC212" s="380"/>
      <c r="AD212" s="380"/>
      <c r="AE212" s="380"/>
      <c r="AF212" s="380"/>
      <c r="AG212" s="381"/>
      <c r="AH212" s="382" t="str">
        <f>AL179</f>
        <v>fj1motoj1pm</v>
      </c>
      <c r="AI212" s="383"/>
      <c r="AJ212" s="383"/>
      <c r="AK212" s="383"/>
      <c r="AL212" s="383"/>
      <c r="AM212" s="383"/>
      <c r="AN212" s="384"/>
      <c r="AT212" s="74"/>
      <c r="AU212" s="74"/>
      <c r="AZ212" s="74"/>
      <c r="BA212" s="74"/>
    </row>
    <row r="213" spans="1:53" ht="13.8" thickBot="1" x14ac:dyDescent="0.3">
      <c r="A213" s="118">
        <v>4</v>
      </c>
      <c r="B213" s="379" t="str">
        <f>L180</f>
        <v>SC Midlands KP White</v>
      </c>
      <c r="C213" s="380"/>
      <c r="D213" s="380"/>
      <c r="E213" s="380"/>
      <c r="F213" s="380"/>
      <c r="G213" s="380"/>
      <c r="H213" s="380"/>
      <c r="I213" s="380"/>
      <c r="J213" s="381"/>
      <c r="K213" s="382" t="str">
        <f>R180</f>
        <v>fj2scmid2pm</v>
      </c>
      <c r="L213" s="383"/>
      <c r="M213" s="383"/>
      <c r="N213" s="383"/>
      <c r="O213" s="383"/>
      <c r="P213" s="383"/>
      <c r="Q213" s="384"/>
      <c r="R213" s="105"/>
      <c r="V213" s="376">
        <v>4</v>
      </c>
      <c r="W213" s="377"/>
      <c r="X213" s="378"/>
      <c r="Y213" s="379" t="s">
        <v>127</v>
      </c>
      <c r="Z213" s="380"/>
      <c r="AA213" s="380"/>
      <c r="AB213" s="380"/>
      <c r="AC213" s="380"/>
      <c r="AD213" s="380"/>
      <c r="AE213" s="380"/>
      <c r="AF213" s="380"/>
      <c r="AG213" s="381"/>
      <c r="AH213" s="382"/>
      <c r="AI213" s="383"/>
      <c r="AJ213" s="383"/>
      <c r="AK213" s="383"/>
      <c r="AL213" s="383"/>
      <c r="AM213" s="383"/>
      <c r="AN213" s="384"/>
      <c r="AT213" s="74"/>
      <c r="AU213" s="74"/>
      <c r="AZ213" s="74"/>
      <c r="BA213" s="74"/>
    </row>
    <row r="214" spans="1:53" ht="13.8" thickBot="1" x14ac:dyDescent="0.3">
      <c r="AT214" s="74"/>
      <c r="AU214" s="74"/>
      <c r="AZ214" s="74"/>
      <c r="BA214" s="74"/>
    </row>
    <row r="215" spans="1:53" x14ac:dyDescent="0.25">
      <c r="B215" s="385" t="s">
        <v>128</v>
      </c>
      <c r="C215" s="386"/>
      <c r="D215" s="387"/>
      <c r="E215" s="388" t="s">
        <v>128</v>
      </c>
      <c r="F215" s="386"/>
      <c r="G215" s="387"/>
      <c r="H215" s="388" t="s">
        <v>12</v>
      </c>
      <c r="I215" s="386"/>
      <c r="J215" s="389"/>
      <c r="K215" s="119"/>
      <c r="L215" s="390"/>
      <c r="M215" s="390"/>
      <c r="N215" s="390"/>
      <c r="S215" s="120"/>
      <c r="T215" s="120"/>
      <c r="U215" s="120"/>
      <c r="V215" s="120"/>
      <c r="X215" s="385" t="s">
        <v>128</v>
      </c>
      <c r="Y215" s="386"/>
      <c r="Z215" s="387"/>
      <c r="AA215" s="388" t="s">
        <v>128</v>
      </c>
      <c r="AB215" s="386"/>
      <c r="AC215" s="387"/>
      <c r="AD215" s="388" t="s">
        <v>12</v>
      </c>
      <c r="AE215" s="386"/>
      <c r="AF215" s="389"/>
      <c r="AG215" s="390"/>
      <c r="AH215" s="390"/>
      <c r="AI215" s="120"/>
      <c r="AJ215" s="120"/>
      <c r="AK215" s="120"/>
      <c r="AZ215" s="74"/>
      <c r="BA215" s="74"/>
    </row>
    <row r="216" spans="1:53" x14ac:dyDescent="0.25">
      <c r="A216" s="60" t="s">
        <v>129</v>
      </c>
      <c r="B216" s="391">
        <v>3</v>
      </c>
      <c r="C216" s="392"/>
      <c r="D216" s="393"/>
      <c r="E216" s="394" t="s">
        <v>130</v>
      </c>
      <c r="F216" s="392"/>
      <c r="G216" s="393"/>
      <c r="H216" s="394" t="s">
        <v>131</v>
      </c>
      <c r="I216" s="392"/>
      <c r="J216" s="395"/>
      <c r="K216" s="121"/>
      <c r="S216" s="120"/>
      <c r="T216" s="120"/>
      <c r="U216" s="396" t="s">
        <v>129</v>
      </c>
      <c r="V216" s="396"/>
      <c r="W216" s="397"/>
      <c r="X216" s="391"/>
      <c r="Y216" s="392"/>
      <c r="Z216" s="393"/>
      <c r="AA216" s="394">
        <v>1</v>
      </c>
      <c r="AB216" s="392"/>
      <c r="AC216" s="393"/>
      <c r="AD216" s="394" t="s">
        <v>131</v>
      </c>
      <c r="AE216" s="392"/>
      <c r="AF216" s="395"/>
      <c r="AI216" s="120"/>
      <c r="AJ216" s="120"/>
      <c r="AK216" s="120"/>
      <c r="AZ216" s="74"/>
      <c r="BA216" s="74"/>
    </row>
    <row r="217" spans="1:53" ht="13.8" thickBot="1" x14ac:dyDescent="0.3">
      <c r="A217" s="11"/>
      <c r="B217" s="404" t="s">
        <v>43</v>
      </c>
      <c r="C217" s="302"/>
      <c r="D217" s="303"/>
      <c r="E217" s="301" t="s">
        <v>132</v>
      </c>
      <c r="F217" s="302"/>
      <c r="G217" s="303"/>
      <c r="H217" s="301" t="s">
        <v>133</v>
      </c>
      <c r="I217" s="302"/>
      <c r="J217" s="398"/>
      <c r="K217" s="122"/>
      <c r="S217" s="120"/>
      <c r="T217" s="120"/>
      <c r="U217" s="402"/>
      <c r="V217" s="402"/>
      <c r="W217" s="403"/>
      <c r="X217" s="404" t="s">
        <v>43</v>
      </c>
      <c r="Y217" s="302"/>
      <c r="Z217" s="303"/>
      <c r="AA217" s="301" t="s">
        <v>132</v>
      </c>
      <c r="AB217" s="302"/>
      <c r="AC217" s="303"/>
      <c r="AD217" s="301" t="s">
        <v>133</v>
      </c>
      <c r="AE217" s="302"/>
      <c r="AF217" s="398"/>
      <c r="AI217" s="120"/>
      <c r="AJ217" s="120"/>
      <c r="AK217" s="120"/>
      <c r="AZ217" s="74"/>
      <c r="BA217" s="74"/>
    </row>
    <row r="218" spans="1:53" ht="13.8" thickBot="1" x14ac:dyDescent="0.3">
      <c r="A218" s="11"/>
      <c r="B218" s="123">
        <v>1</v>
      </c>
      <c r="C218" s="124" t="s">
        <v>50</v>
      </c>
      <c r="D218" s="125">
        <v>4</v>
      </c>
      <c r="E218" s="126">
        <v>2</v>
      </c>
      <c r="F218" s="124" t="s">
        <v>50</v>
      </c>
      <c r="G218" s="125">
        <v>3</v>
      </c>
      <c r="H218" s="127" t="str">
        <f>IF(OR(AND(OR(B222&gt;0,D222&gt;0),B222&gt;D222),OR(D218="b",D218="B")),B218,IF(OR(AND(OR(B222&gt;0,D222&gt;0),D222&gt;B222),OR(B218="b",B218="B")),D218,"W1"))</f>
        <v>W1</v>
      </c>
      <c r="I218" s="128" t="s">
        <v>50</v>
      </c>
      <c r="J218" s="129" t="str">
        <f>IF(OR(AND(OR(E222&gt;0,G222&gt;0),E222&gt;G222),OR(G218="b",G218="B")),E218,IF(OR(AND(OR(E222&gt;0,G222&gt;0),G222&gt;E222),OR(E218="b",E218="B")),G218,"W2"))</f>
        <v>W2</v>
      </c>
      <c r="K218" s="399" t="s">
        <v>134</v>
      </c>
      <c r="L218" s="400"/>
      <c r="M218" s="400"/>
      <c r="N218" s="401"/>
      <c r="S218" s="120"/>
      <c r="T218" s="120"/>
      <c r="U218" s="402"/>
      <c r="V218" s="402"/>
      <c r="W218" s="403"/>
      <c r="X218" s="123">
        <v>1</v>
      </c>
      <c r="Y218" s="124" t="s">
        <v>50</v>
      </c>
      <c r="Z218" s="125" t="s">
        <v>91</v>
      </c>
      <c r="AA218" s="126">
        <v>2</v>
      </c>
      <c r="AB218" s="124" t="s">
        <v>50</v>
      </c>
      <c r="AC218" s="125">
        <v>3</v>
      </c>
      <c r="AD218" s="127">
        <f>IF(OR(AND(OR(X222&gt;0,Z222&gt;0),X222&gt;Z222),OR(Z218="b",Z218="B")),X218,IF(OR(AND(OR(X222&gt;0,Z222&gt;0),Z222&gt;X222),OR(X218="b",X218="B")),Z218,"W1"))</f>
        <v>1</v>
      </c>
      <c r="AE218" s="128" t="s">
        <v>50</v>
      </c>
      <c r="AF218" s="129" t="str">
        <f>IF(OR(AND(OR(AA222&gt;0,AC222&gt;0),AA222&gt;AC222),OR(AC222="b",AC222="B")),AA218,IF(OR(AND(OR(AA222&gt;0,AC222&gt;0),AC222&gt;AA222),OR(AA222="b",AA222="B")),AC218,"W2"))</f>
        <v>W2</v>
      </c>
      <c r="AG218" s="399" t="s">
        <v>134</v>
      </c>
      <c r="AH218" s="401"/>
      <c r="AI218" s="120"/>
      <c r="AJ218" s="120"/>
      <c r="AK218" s="120"/>
      <c r="AZ218" s="74"/>
      <c r="BA218" s="74"/>
    </row>
    <row r="219" spans="1:53" ht="13.5" hidden="1" customHeight="1" x14ac:dyDescent="0.25">
      <c r="A219" s="11"/>
      <c r="B219" s="130">
        <f>IF(B223&gt;D223,1,0)</f>
        <v>0</v>
      </c>
      <c r="C219" s="131"/>
      <c r="D219" s="132">
        <f>IF(D223&gt;B223,1,0)</f>
        <v>0</v>
      </c>
      <c r="E219" s="130">
        <f>IF(E223&gt;G223,1,0)</f>
        <v>0</v>
      </c>
      <c r="F219" s="131"/>
      <c r="G219" s="132">
        <f>IF(G223&gt;E223,1,0)</f>
        <v>0</v>
      </c>
      <c r="H219" s="130">
        <f>IF(H223&gt;J223,1,0)</f>
        <v>0</v>
      </c>
      <c r="I219" s="131"/>
      <c r="J219" s="132">
        <f>IF(J223&gt;H223,1,0)</f>
        <v>0</v>
      </c>
      <c r="K219" s="133"/>
      <c r="L219" s="134"/>
      <c r="M219" s="134"/>
      <c r="N219" s="135"/>
      <c r="S219" s="120"/>
      <c r="T219" s="120"/>
      <c r="U219" s="402"/>
      <c r="V219" s="402"/>
      <c r="W219" s="403"/>
      <c r="X219" s="130">
        <f>IF(X223&gt;Z223,1,0)</f>
        <v>0</v>
      </c>
      <c r="Y219" s="131"/>
      <c r="Z219" s="132">
        <f>IF(Z223&gt;X223,1,0)</f>
        <v>0</v>
      </c>
      <c r="AA219" s="130">
        <f>IF(AA223&gt;AC223,1,0)</f>
        <v>0</v>
      </c>
      <c r="AB219" s="131"/>
      <c r="AC219" s="132">
        <f>IF(AC223&gt;AA223,1,0)</f>
        <v>0</v>
      </c>
      <c r="AD219" s="130">
        <f>IF(AD223&gt;AF223,1,0)</f>
        <v>0</v>
      </c>
      <c r="AE219" s="131"/>
      <c r="AF219" s="132">
        <f>IF(AF223&gt;AD223,1,0)</f>
        <v>0</v>
      </c>
      <c r="AG219" s="136"/>
      <c r="AH219" s="137"/>
      <c r="AI219" s="120"/>
      <c r="AJ219" s="120"/>
      <c r="AK219" s="120"/>
      <c r="AZ219" s="74"/>
      <c r="BA219" s="74"/>
    </row>
    <row r="220" spans="1:53" ht="13.5" hidden="1" customHeight="1" x14ac:dyDescent="0.25">
      <c r="A220" s="11"/>
      <c r="B220" s="130">
        <f>IF(B224&gt;D224,1,0)</f>
        <v>0</v>
      </c>
      <c r="C220" s="131"/>
      <c r="D220" s="132">
        <f>IF(D224&gt;B224,1,0)</f>
        <v>0</v>
      </c>
      <c r="E220" s="130">
        <f>IF(E224&gt;G224,1,0)</f>
        <v>0</v>
      </c>
      <c r="F220" s="131"/>
      <c r="G220" s="132">
        <f>IF(G224&gt;E224,1,0)</f>
        <v>0</v>
      </c>
      <c r="H220" s="130">
        <f>IF(H224&gt;J224,1,0)</f>
        <v>0</v>
      </c>
      <c r="I220" s="131"/>
      <c r="J220" s="132">
        <f>IF(J224&gt;H224,1,0)</f>
        <v>0</v>
      </c>
      <c r="K220" s="133"/>
      <c r="L220" s="134"/>
      <c r="M220" s="134"/>
      <c r="N220" s="135"/>
      <c r="S220" s="120"/>
      <c r="T220" s="120"/>
      <c r="U220" s="402"/>
      <c r="V220" s="402"/>
      <c r="W220" s="403"/>
      <c r="X220" s="130">
        <f>IF(X224&gt;Z224,1,0)</f>
        <v>0</v>
      </c>
      <c r="Y220" s="131"/>
      <c r="Z220" s="132">
        <f>IF(Z224&gt;X224,1,0)</f>
        <v>0</v>
      </c>
      <c r="AA220" s="130">
        <f>IF(AA224&gt;AC224,1,0)</f>
        <v>0</v>
      </c>
      <c r="AB220" s="131"/>
      <c r="AC220" s="132">
        <f>IF(AC224&gt;AA224,1,0)</f>
        <v>0</v>
      </c>
      <c r="AD220" s="130">
        <f>IF(AD224&gt;AF224,1,0)</f>
        <v>0</v>
      </c>
      <c r="AE220" s="131"/>
      <c r="AF220" s="132">
        <f>IF(AF224&gt;AD224,1,0)</f>
        <v>0</v>
      </c>
      <c r="AG220" s="136"/>
      <c r="AH220" s="137"/>
      <c r="AI220" s="120"/>
      <c r="AJ220" s="120"/>
      <c r="AK220" s="120"/>
      <c r="AZ220" s="74"/>
      <c r="BA220" s="74"/>
    </row>
    <row r="221" spans="1:53" ht="13.5" hidden="1" customHeight="1" x14ac:dyDescent="0.25">
      <c r="A221" s="11"/>
      <c r="B221" s="130">
        <f>IF(B225&gt;D225,1,0)</f>
        <v>0</v>
      </c>
      <c r="C221" s="131"/>
      <c r="D221" s="132">
        <f>IF(D225&gt;B225,1,0)</f>
        <v>0</v>
      </c>
      <c r="E221" s="130">
        <f>IF(E225&gt;G225,1,0)</f>
        <v>0</v>
      </c>
      <c r="F221" s="131"/>
      <c r="G221" s="132">
        <f>IF(G225&gt;E225,1,0)</f>
        <v>0</v>
      </c>
      <c r="H221" s="130">
        <f>IF(H225&gt;J225,1,0)</f>
        <v>0</v>
      </c>
      <c r="I221" s="131"/>
      <c r="J221" s="132">
        <f>IF(J225&gt;H225,1,0)</f>
        <v>0</v>
      </c>
      <c r="K221" s="133"/>
      <c r="L221" s="134"/>
      <c r="M221" s="134"/>
      <c r="N221" s="135"/>
      <c r="S221" s="120"/>
      <c r="T221" s="120"/>
      <c r="U221" s="402"/>
      <c r="V221" s="402"/>
      <c r="W221" s="403"/>
      <c r="X221" s="130">
        <f>IF(X225&gt;Z225,1,0)</f>
        <v>0</v>
      </c>
      <c r="Y221" s="131"/>
      <c r="Z221" s="132">
        <f>IF(Z225&gt;X225,1,0)</f>
        <v>0</v>
      </c>
      <c r="AA221" s="130">
        <f>IF(AA225&gt;AC225,1,0)</f>
        <v>0</v>
      </c>
      <c r="AB221" s="131"/>
      <c r="AC221" s="132">
        <f>IF(AC225&gt;AA225,1,0)</f>
        <v>0</v>
      </c>
      <c r="AD221" s="130">
        <f>IF(AD225&gt;AF225,1,0)</f>
        <v>0</v>
      </c>
      <c r="AE221" s="131"/>
      <c r="AF221" s="132">
        <f>IF(AF225&gt;AD225,1,0)</f>
        <v>0</v>
      </c>
      <c r="AG221" s="136"/>
      <c r="AH221" s="137"/>
      <c r="AI221" s="120"/>
      <c r="AJ221" s="120"/>
      <c r="AK221" s="120"/>
      <c r="AZ221" s="74"/>
      <c r="BA221" s="74"/>
    </row>
    <row r="222" spans="1:53" ht="13.5" hidden="1" customHeight="1" x14ac:dyDescent="0.25">
      <c r="A222" s="11"/>
      <c r="B222" s="130">
        <f>SUM(B219:B221)</f>
        <v>0</v>
      </c>
      <c r="C222" s="131"/>
      <c r="D222" s="130">
        <f>SUM(D219:D221)</f>
        <v>0</v>
      </c>
      <c r="E222" s="130">
        <f>SUM(E219:E221)</f>
        <v>0</v>
      </c>
      <c r="F222" s="131"/>
      <c r="G222" s="130">
        <f>SUM(G219:G221)</f>
        <v>0</v>
      </c>
      <c r="H222" s="130">
        <f>SUM(H219:H221)</f>
        <v>0</v>
      </c>
      <c r="I222" s="131"/>
      <c r="J222" s="130">
        <f>SUM(J219:J221)</f>
        <v>0</v>
      </c>
      <c r="K222" s="133"/>
      <c r="L222" s="134"/>
      <c r="M222" s="134"/>
      <c r="N222" s="135"/>
      <c r="S222" s="120"/>
      <c r="T222" s="120"/>
      <c r="U222" s="402"/>
      <c r="V222" s="402"/>
      <c r="W222" s="403"/>
      <c r="X222" s="130">
        <f>SUM(X219:X221)</f>
        <v>0</v>
      </c>
      <c r="Y222" s="131"/>
      <c r="Z222" s="130">
        <f>SUM(Z219:Z221)</f>
        <v>0</v>
      </c>
      <c r="AA222" s="130">
        <f>SUM(AA219:AA221)</f>
        <v>0</v>
      </c>
      <c r="AB222" s="131"/>
      <c r="AC222" s="130">
        <f>SUM(AC219:AC221)</f>
        <v>0</v>
      </c>
      <c r="AD222" s="130">
        <f>SUM(AD219:AD221)</f>
        <v>0</v>
      </c>
      <c r="AE222" s="131"/>
      <c r="AF222" s="130">
        <f>SUM(AF219:AF221)</f>
        <v>0</v>
      </c>
      <c r="AG222" s="136"/>
      <c r="AH222" s="137"/>
      <c r="AI222" s="120"/>
      <c r="AJ222" s="120"/>
      <c r="AK222" s="120"/>
      <c r="AZ222" s="74"/>
      <c r="BA222" s="74"/>
    </row>
    <row r="223" spans="1:53" ht="12.75" customHeight="1" x14ac:dyDescent="0.25">
      <c r="A223" s="4" t="s">
        <v>51</v>
      </c>
      <c r="B223" s="138"/>
      <c r="C223" s="70" t="s">
        <v>52</v>
      </c>
      <c r="D223" s="139"/>
      <c r="E223" s="140"/>
      <c r="F223" s="70" t="s">
        <v>52</v>
      </c>
      <c r="G223" s="139"/>
      <c r="H223" s="140"/>
      <c r="I223" s="70" t="s">
        <v>52</v>
      </c>
      <c r="J223" s="141"/>
      <c r="K223" s="407" t="str">
        <f>IF(AND(OR(H222&gt;0,J222&gt;0),AND(1&lt;=H218,H218&lt;=4),AND(1&lt;=J218,J218&lt;=4)),IF(H222&gt;J222,H218,IF(J222&gt;H222,J218,"")),"")</f>
        <v/>
      </c>
      <c r="L223" s="408"/>
      <c r="M223" s="408"/>
      <c r="N223" s="409"/>
      <c r="S223" s="120"/>
      <c r="T223" s="120"/>
      <c r="U223" s="142"/>
      <c r="V223" s="142"/>
      <c r="W223" s="4" t="s">
        <v>51</v>
      </c>
      <c r="X223" s="138"/>
      <c r="Y223" s="70" t="s">
        <v>52</v>
      </c>
      <c r="Z223" s="139"/>
      <c r="AA223" s="140"/>
      <c r="AB223" s="70" t="s">
        <v>52</v>
      </c>
      <c r="AC223" s="139"/>
      <c r="AD223" s="140"/>
      <c r="AE223" s="70" t="s">
        <v>52</v>
      </c>
      <c r="AF223" s="141"/>
      <c r="AG223" s="407" t="str">
        <f>IF(AND(OR(AD222&gt;0,AF222&gt;0),AND(1&lt;=AD218,AD218&lt;=4),AND(1&lt;=AF218,AF218&lt;=4)),IF(AD222&gt;AF222,AD218,IF(AF222&gt;AD222,AF218,"")),"")</f>
        <v/>
      </c>
      <c r="AH223" s="409"/>
      <c r="AI223" s="120"/>
      <c r="AJ223" s="120"/>
      <c r="AK223" s="120"/>
      <c r="AZ223" s="74"/>
      <c r="BA223" s="74"/>
    </row>
    <row r="224" spans="1:53" ht="12.75" customHeight="1" x14ac:dyDescent="0.25">
      <c r="A224" s="4" t="s">
        <v>135</v>
      </c>
      <c r="B224" s="138"/>
      <c r="C224" s="70" t="s">
        <v>52</v>
      </c>
      <c r="D224" s="139"/>
      <c r="E224" s="140"/>
      <c r="F224" s="70" t="s">
        <v>52</v>
      </c>
      <c r="G224" s="139"/>
      <c r="H224" s="140"/>
      <c r="I224" s="70" t="s">
        <v>52</v>
      </c>
      <c r="J224" s="141"/>
      <c r="K224" s="410"/>
      <c r="L224" s="411"/>
      <c r="M224" s="411"/>
      <c r="N224" s="412"/>
      <c r="S224" s="120"/>
      <c r="T224" s="120"/>
      <c r="U224" s="142"/>
      <c r="V224" s="142"/>
      <c r="W224" s="4" t="s">
        <v>135</v>
      </c>
      <c r="X224" s="138"/>
      <c r="Y224" s="70" t="s">
        <v>52</v>
      </c>
      <c r="Z224" s="139"/>
      <c r="AA224" s="140"/>
      <c r="AB224" s="70" t="s">
        <v>52</v>
      </c>
      <c r="AC224" s="139"/>
      <c r="AD224" s="140"/>
      <c r="AE224" s="70" t="s">
        <v>52</v>
      </c>
      <c r="AF224" s="141"/>
      <c r="AG224" s="410"/>
      <c r="AH224" s="412"/>
      <c r="AI224" s="120"/>
      <c r="AJ224" s="120"/>
      <c r="AK224" s="120"/>
      <c r="AZ224" s="74"/>
      <c r="BA224" s="74"/>
    </row>
    <row r="225" spans="1:80" ht="13.5" customHeight="1" thickBot="1" x14ac:dyDescent="0.3">
      <c r="A225" s="4" t="s">
        <v>136</v>
      </c>
      <c r="B225" s="143"/>
      <c r="C225" s="144" t="s">
        <v>52</v>
      </c>
      <c r="D225" s="145"/>
      <c r="E225" s="146"/>
      <c r="F225" s="144" t="s">
        <v>52</v>
      </c>
      <c r="G225" s="145"/>
      <c r="H225" s="146"/>
      <c r="I225" s="144" t="s">
        <v>52</v>
      </c>
      <c r="J225" s="147"/>
      <c r="K225" s="413"/>
      <c r="L225" s="414"/>
      <c r="M225" s="414"/>
      <c r="N225" s="415"/>
      <c r="S225" s="120"/>
      <c r="T225" s="120"/>
      <c r="U225" s="142"/>
      <c r="V225" s="142"/>
      <c r="W225" s="4" t="s">
        <v>136</v>
      </c>
      <c r="X225" s="143"/>
      <c r="Y225" s="144" t="s">
        <v>52</v>
      </c>
      <c r="Z225" s="145"/>
      <c r="AA225" s="146"/>
      <c r="AB225" s="144" t="s">
        <v>52</v>
      </c>
      <c r="AC225" s="145"/>
      <c r="AD225" s="146"/>
      <c r="AE225" s="144" t="s">
        <v>52</v>
      </c>
      <c r="AF225" s="147"/>
      <c r="AG225" s="413"/>
      <c r="AH225" s="415"/>
      <c r="AI225" s="120"/>
      <c r="AJ225" s="120"/>
      <c r="AK225" s="120"/>
      <c r="AZ225" s="74"/>
      <c r="BA225" s="74"/>
    </row>
    <row r="226" spans="1:80" hidden="1" x14ac:dyDescent="0.25">
      <c r="B226" s="3"/>
      <c r="C226" s="148" t="s">
        <v>86</v>
      </c>
      <c r="D226" s="3" t="s">
        <v>137</v>
      </c>
      <c r="E226" s="3"/>
      <c r="F226" s="148"/>
      <c r="G226" t="s">
        <v>138</v>
      </c>
      <c r="J226" t="s">
        <v>139</v>
      </c>
      <c r="X226" s="3"/>
      <c r="Y226" s="148" t="s">
        <v>86</v>
      </c>
      <c r="Z226" s="3" t="s">
        <v>137</v>
      </c>
      <c r="AA226" s="3"/>
      <c r="AB226" s="148"/>
      <c r="AC226" t="s">
        <v>138</v>
      </c>
      <c r="AF226" t="s">
        <v>139</v>
      </c>
      <c r="AT226" t="str">
        <f>B227</f>
        <v>C1VB Juniors Royal</v>
      </c>
      <c r="AU226">
        <f>J227</f>
        <v>1246.5304984710244</v>
      </c>
      <c r="AW226" s="149"/>
      <c r="AX226" s="74"/>
      <c r="AY226" s="74"/>
      <c r="AZ226" s="74"/>
      <c r="BA226" s="74"/>
      <c r="BB226" s="149"/>
      <c r="BC226" s="74"/>
      <c r="BD226" s="74"/>
      <c r="BE226" s="149"/>
      <c r="BF226" s="74"/>
      <c r="BG226" s="74"/>
      <c r="BH226" s="149"/>
      <c r="BI226" s="74"/>
      <c r="BJ226" s="74"/>
      <c r="BK226" s="149"/>
      <c r="BL226" s="74"/>
      <c r="BM226" s="74"/>
      <c r="BN226" s="149"/>
      <c r="BO226" s="74"/>
      <c r="BP226" s="74"/>
      <c r="BQ226" s="149"/>
      <c r="BR226" s="74"/>
      <c r="BS226" s="74"/>
      <c r="BT226" s="149"/>
      <c r="BU226" s="74"/>
      <c r="BV226" s="74"/>
      <c r="BW226" s="149"/>
      <c r="BX226" s="74"/>
      <c r="BY226" s="74"/>
      <c r="BZ226" s="149"/>
      <c r="CA226" s="74"/>
      <c r="CB226" s="74"/>
    </row>
    <row r="227" spans="1:80" hidden="1" x14ac:dyDescent="0.25">
      <c r="A227">
        <v>1</v>
      </c>
      <c r="B227" t="str">
        <f>B210</f>
        <v>C1VB Juniors Royal</v>
      </c>
      <c r="C227">
        <f>VLOOKUP(B227,AU$2:AY$10,4,FALSE)</f>
        <v>1246.5304984710244</v>
      </c>
      <c r="D227">
        <f>IF(A227=B218,B233,IF(A227=D218,D233,C227))</f>
        <v>1246.5304984710244</v>
      </c>
      <c r="G227">
        <f>IF(A227=E218,E233,IF(A227=G218,G233,D227))</f>
        <v>1246.5304984710244</v>
      </c>
      <c r="J227">
        <f>IF(A227=H218,H233,IF(A227=J218,J233,G227))</f>
        <v>1246.5304984710244</v>
      </c>
      <c r="V227" s="150"/>
      <c r="W227" s="150">
        <v>1</v>
      </c>
      <c r="X227" t="str">
        <f>Y210</f>
        <v>Foothills Vanessa</v>
      </c>
      <c r="Y227">
        <f>VLOOKUP(X227,AU$2:AY$10,4,FALSE)</f>
        <v>1185.4695015289756</v>
      </c>
      <c r="Z227">
        <f>IF(AND(W227=X218,ISNUMBER(X218)),X233,IF(AND(W227=Z218,ISNUMBER(Z218)),Z233,Y227))</f>
        <v>1185.4695015289756</v>
      </c>
      <c r="AC227">
        <f>IF(W227=AA218,AA233,IF(W227=AC218,AC233,Z227))</f>
        <v>1185.4695015289756</v>
      </c>
      <c r="AF227">
        <f>IF(W227=AD218,AD233,IF(W227=AF218,AF233,AC227))</f>
        <v>1185.4695015289756</v>
      </c>
      <c r="AT227" t="str">
        <f>B228</f>
        <v>SC Midlands KP Boys</v>
      </c>
      <c r="AU227">
        <f>J228</f>
        <v>1258.4581800415169</v>
      </c>
      <c r="AW227" s="149"/>
      <c r="AX227" s="74"/>
      <c r="AY227" s="74"/>
      <c r="AZ227" s="74"/>
      <c r="BA227" s="74"/>
      <c r="BB227" s="149"/>
      <c r="BC227" s="74"/>
      <c r="BD227" s="74"/>
      <c r="BE227" s="149"/>
      <c r="BF227" s="74"/>
      <c r="BG227" s="74"/>
      <c r="BH227" s="149"/>
      <c r="BI227" s="74"/>
      <c r="BJ227" s="74"/>
      <c r="BK227" s="149"/>
      <c r="BL227" s="74"/>
      <c r="BM227" s="74"/>
      <c r="BN227" s="149"/>
      <c r="BO227" s="74"/>
      <c r="BP227" s="74"/>
      <c r="BQ227" s="149"/>
      <c r="BR227" s="74"/>
      <c r="BS227" s="74"/>
      <c r="BT227" s="149"/>
      <c r="BU227" s="74"/>
      <c r="BV227" s="74"/>
      <c r="BW227" s="149"/>
      <c r="BX227" s="74"/>
      <c r="BY227" s="74"/>
      <c r="BZ227" s="149"/>
      <c r="CA227" s="74"/>
      <c r="CB227" s="74"/>
    </row>
    <row r="228" spans="1:80" hidden="1" x14ac:dyDescent="0.25">
      <c r="A228">
        <v>2</v>
      </c>
      <c r="B228" t="str">
        <f>B211</f>
        <v>SC Midlands KP Boys</v>
      </c>
      <c r="C228">
        <f>VLOOKUP(B228,AU$2:AY$10,4,FALSE)</f>
        <v>1258.4581800415169</v>
      </c>
      <c r="D228">
        <f>IF(A228=B218,B233,IF(A228=D218,D233,C228))</f>
        <v>1258.4581800415169</v>
      </c>
      <c r="G228">
        <f>IF(A228=E218,E233,IF(A228=G218,G233,D228))</f>
        <v>1258.4581800415169</v>
      </c>
      <c r="J228">
        <f>IF(A228=H218,H233,IF(A228=J218,J233,G228))</f>
        <v>1258.4581800415169</v>
      </c>
      <c r="V228" s="150"/>
      <c r="W228" s="150">
        <v>2</v>
      </c>
      <c r="X228" t="str">
        <f>Y211</f>
        <v>C1VB Juniors Grey</v>
      </c>
      <c r="Y228">
        <f>VLOOKUP(X228,AU$2:AY$10,4,FALSE)</f>
        <v>1141.6652427363483</v>
      </c>
      <c r="Z228">
        <f>IF(W228=X218,X233,IF(W228=Z218,Z233,Y228))</f>
        <v>1141.6652427363483</v>
      </c>
      <c r="AC228">
        <f>IF(W228=AA218,AA233,IF(W228=AC218,AC233,Z228))</f>
        <v>1141.6652427363483</v>
      </c>
      <c r="AF228">
        <f>IF(W228=AD218,AD233,IF(W228=AF218,AF233,AC228))</f>
        <v>1141.6652427363483</v>
      </c>
      <c r="AT228" t="str">
        <f>B229</f>
        <v>Intense kids power col</v>
      </c>
      <c r="AU228">
        <f>J229</f>
        <v>1214.5304984710244</v>
      </c>
      <c r="AW228" s="149"/>
      <c r="AX228" s="74"/>
      <c r="AY228" s="74"/>
      <c r="AZ228" s="74"/>
      <c r="BA228" s="74"/>
      <c r="BB228" s="149"/>
      <c r="BC228" s="74"/>
      <c r="BD228" s="74"/>
      <c r="BE228" s="149"/>
      <c r="BF228" s="74"/>
      <c r="BG228" s="74"/>
      <c r="BH228" s="149"/>
      <c r="BI228" s="74"/>
      <c r="BJ228" s="74"/>
      <c r="BK228" s="149"/>
      <c r="BL228" s="74"/>
      <c r="BM228" s="74"/>
      <c r="BN228" s="149"/>
      <c r="BO228" s="74"/>
      <c r="BP228" s="74"/>
      <c r="BQ228" s="149"/>
      <c r="BR228" s="74"/>
      <c r="BS228" s="74"/>
      <c r="BT228" s="149"/>
      <c r="BU228" s="74"/>
      <c r="BV228" s="74"/>
      <c r="BW228" s="149"/>
      <c r="BX228" s="74"/>
      <c r="BY228" s="74"/>
      <c r="BZ228" s="149"/>
      <c r="CA228" s="74"/>
      <c r="CB228" s="74"/>
    </row>
    <row r="229" spans="1:80" hidden="1" x14ac:dyDescent="0.25">
      <c r="A229">
        <v>3</v>
      </c>
      <c r="B229" t="str">
        <f>B212</f>
        <v>Intense kids power col</v>
      </c>
      <c r="C229">
        <f>VLOOKUP(B229,AU$2:AY$10,4,FALSE)</f>
        <v>1214.5304984710244</v>
      </c>
      <c r="D229">
        <f>IF(A229=B218,B233,IF(A229=D218,D233,C229))</f>
        <v>1214.5304984710244</v>
      </c>
      <c r="G229">
        <f>IF(A229=E218,E233,IF(A229=G218,G233,D229))</f>
        <v>1214.5304984710244</v>
      </c>
      <c r="J229">
        <f>IF(A229=H218,H233,IF(A229=J218,J233,G229))</f>
        <v>1214.5304984710244</v>
      </c>
      <c r="V229" s="150"/>
      <c r="W229" s="150">
        <v>3</v>
      </c>
      <c r="X229" t="str">
        <f>Y212</f>
        <v>MOTO 12'1</v>
      </c>
      <c r="Y229">
        <f>VLOOKUP(X229,AU$2:AY$10,4,FALSE)</f>
        <v>1153.4695015289756</v>
      </c>
      <c r="Z229">
        <f>IF(W229=X218,X233,IF(W229=Z218,Z233,Y229))</f>
        <v>1153.4695015289756</v>
      </c>
      <c r="AC229">
        <f>IF(W229=AA218,AA233,IF(W229=AC218,AC233,Z229))</f>
        <v>1153.4695015289756</v>
      </c>
      <c r="AF229">
        <f>IF(W229=AD218,AD233,IF(W229=AF218,AF233,AC229))</f>
        <v>1153.4695015289756</v>
      </c>
      <c r="AT229" t="str">
        <f>B230</f>
        <v>SC Midlands KP White</v>
      </c>
      <c r="AU229">
        <f>J230</f>
        <v>1199.8765772221348</v>
      </c>
      <c r="AW229" s="149"/>
      <c r="AX229" s="74"/>
      <c r="AY229" s="74"/>
      <c r="AZ229" s="74"/>
      <c r="BA229" s="74"/>
      <c r="BB229" s="149"/>
      <c r="BC229" s="74"/>
      <c r="BD229" s="74"/>
      <c r="BE229" s="149"/>
      <c r="BF229" s="74"/>
      <c r="BG229" s="74"/>
      <c r="BH229" s="149"/>
      <c r="BI229" s="74"/>
      <c r="BJ229" s="74"/>
      <c r="BK229" s="149"/>
      <c r="BL229" s="74"/>
      <c r="BM229" s="74"/>
      <c r="BN229" s="149"/>
      <c r="BO229" s="74"/>
      <c r="BP229" s="74"/>
      <c r="BQ229" s="149"/>
      <c r="BR229" s="74"/>
      <c r="BS229" s="74"/>
      <c r="BT229" s="149"/>
      <c r="BU229" s="74"/>
      <c r="BV229" s="74"/>
      <c r="BW229" s="149"/>
      <c r="BX229" s="74"/>
      <c r="BY229" s="74"/>
      <c r="BZ229" s="149"/>
      <c r="CA229" s="74"/>
      <c r="CB229" s="74"/>
    </row>
    <row r="230" spans="1:80" hidden="1" x14ac:dyDescent="0.25">
      <c r="A230">
        <v>4</v>
      </c>
      <c r="B230" t="str">
        <f>B213</f>
        <v>SC Midlands KP White</v>
      </c>
      <c r="C230">
        <f>VLOOKUP(B230,AU$2:AY$10,4,FALSE)</f>
        <v>1199.8765772221348</v>
      </c>
      <c r="D230">
        <f>IF(A230=B218,B233,IF(A230=D218,D233,C230))</f>
        <v>1199.8765772221348</v>
      </c>
      <c r="G230">
        <f>IF(A230=E218,E233,IF(A230=G218,G233,D230))</f>
        <v>1199.8765772221348</v>
      </c>
      <c r="J230">
        <f>IF(A230=H218,H233,IF(A230=J218,J233,G230))</f>
        <v>1199.8765772221348</v>
      </c>
      <c r="V230" s="150"/>
      <c r="W230" s="150">
        <v>4</v>
      </c>
      <c r="X230" t="str">
        <f>Y213</f>
        <v>BYE</v>
      </c>
      <c r="Y230" t="e">
        <f>VLOOKUP(X230,AU$2:AY$10,4,FALSE)</f>
        <v>#N/A</v>
      </c>
      <c r="Z230" t="e">
        <f>IF(W230=X218,X233,IF(W230=Z218,Z233,Y230))</f>
        <v>#N/A</v>
      </c>
      <c r="AC230" t="e">
        <f>IF(W230=AA218,AA233,IF(W230=AC218,AC233,Z230))</f>
        <v>#N/A</v>
      </c>
      <c r="AF230" t="e">
        <f>IF(W230=AD218,AD233,IF(W230=AF218,AF233,AC230))</f>
        <v>#N/A</v>
      </c>
      <c r="AT230" t="str">
        <f>X227</f>
        <v>Foothills Vanessa</v>
      </c>
      <c r="AU230">
        <f>AF227</f>
        <v>1185.4695015289756</v>
      </c>
      <c r="AW230" s="149"/>
      <c r="AX230" s="74"/>
      <c r="AY230" s="74"/>
      <c r="AZ230" s="74"/>
      <c r="BA230" s="74"/>
      <c r="BB230" s="149"/>
      <c r="BC230" s="74"/>
      <c r="BD230" s="74"/>
      <c r="BE230" s="149"/>
      <c r="BF230" s="74"/>
      <c r="BG230" s="74"/>
      <c r="BH230" s="149"/>
      <c r="BI230" s="74"/>
      <c r="BJ230" s="74"/>
      <c r="BK230" s="149"/>
      <c r="BL230" s="74"/>
      <c r="BM230" s="74"/>
      <c r="BN230" s="149"/>
      <c r="BO230" s="74"/>
      <c r="BP230" s="74"/>
      <c r="BQ230" s="149"/>
      <c r="BR230" s="74"/>
      <c r="BS230" s="74"/>
      <c r="BT230" s="149"/>
      <c r="BU230" s="74"/>
      <c r="BV230" s="74"/>
      <c r="BW230" s="149"/>
      <c r="BX230" s="74"/>
      <c r="BY230" s="74"/>
      <c r="BZ230" s="149"/>
      <c r="CA230" s="74"/>
      <c r="CB230" s="74"/>
    </row>
    <row r="231" spans="1:80" hidden="1" x14ac:dyDescent="0.25">
      <c r="A231" t="s">
        <v>88</v>
      </c>
      <c r="B231">
        <f>VLOOKUP(B218,$A227:$J230,3,FALSE)</f>
        <v>1246.5304984710244</v>
      </c>
      <c r="D231">
        <f>VLOOKUP(D218,$A227:$J230,3,FALSE)</f>
        <v>1199.8765772221348</v>
      </c>
      <c r="E231">
        <f>VLOOKUP(E218,$A227:$J230,4,FALSE)</f>
        <v>1258.4581800415169</v>
      </c>
      <c r="G231">
        <f>VLOOKUP(G218,$A227:$J230,4,FALSE)</f>
        <v>1214.5304984710244</v>
      </c>
      <c r="H231" t="e">
        <f>VLOOKUP(H218,$A227:$J230,7,FALSE)</f>
        <v>#N/A</v>
      </c>
      <c r="J231" t="e">
        <f>VLOOKUP(J218,$A227:$J230,7,FALSE)</f>
        <v>#N/A</v>
      </c>
      <c r="U231" s="416" t="s">
        <v>88</v>
      </c>
      <c r="V231" s="416"/>
      <c r="W231" s="416"/>
      <c r="X231">
        <f>VLOOKUP(X218,$W227:$AF230,3,FALSE)</f>
        <v>1185.4695015289756</v>
      </c>
      <c r="Z231" t="e">
        <f>VLOOKUP(Z218,$W227:$AF230,3,FALSE)</f>
        <v>#N/A</v>
      </c>
      <c r="AA231">
        <f>VLOOKUP(AA218,$W227:$AF230,4,FALSE)</f>
        <v>1141.6652427363483</v>
      </c>
      <c r="AC231">
        <f>VLOOKUP(AC218,$W227:$AF230,4,FALSE)</f>
        <v>1153.4695015289756</v>
      </c>
      <c r="AD231">
        <f>VLOOKUP(AD218,$W227:$AF230,7,FALSE)</f>
        <v>1185.4695015289756</v>
      </c>
      <c r="AF231" t="e">
        <f>VLOOKUP(AF218,$W227:$AF230,7,FALSE)</f>
        <v>#N/A</v>
      </c>
      <c r="AT231" t="str">
        <f>X228</f>
        <v>C1VB Juniors Grey</v>
      </c>
      <c r="AU231">
        <f>AF228</f>
        <v>1141.6652427363483</v>
      </c>
      <c r="AW231" s="149"/>
      <c r="AX231" s="74"/>
      <c r="AY231" s="74"/>
      <c r="AZ231" s="74"/>
      <c r="BA231" s="74"/>
      <c r="BB231" s="149"/>
      <c r="BC231" s="74"/>
      <c r="BD231" s="74"/>
      <c r="BE231" s="149"/>
      <c r="BF231" s="74"/>
      <c r="BG231" s="74"/>
      <c r="BH231" s="149"/>
      <c r="BI231" s="74"/>
      <c r="BJ231" s="74"/>
      <c r="BK231" s="149"/>
      <c r="BL231" s="74"/>
      <c r="BM231" s="74"/>
      <c r="BN231" s="149"/>
      <c r="BO231" s="74"/>
      <c r="BP231" s="74"/>
      <c r="BQ231" s="149"/>
      <c r="BR231" s="74"/>
      <c r="BS231" s="74"/>
      <c r="BT231" s="149"/>
      <c r="BU231" s="74"/>
      <c r="BV231" s="74"/>
      <c r="BW231" s="149"/>
      <c r="BX231" s="74"/>
      <c r="BY231" s="74"/>
      <c r="BZ231" s="149"/>
      <c r="CA231" s="74"/>
      <c r="CB231" s="74"/>
    </row>
    <row r="232" spans="1:80" hidden="1" x14ac:dyDescent="0.25">
      <c r="A232" s="88" t="s">
        <v>89</v>
      </c>
      <c r="B232" s="88">
        <f>IF(OR(B222&gt;0,D222&gt;0),1/(1+(10^-((B231-D231)/400)))*(B222+D222),0)</f>
        <v>0</v>
      </c>
      <c r="C232" s="88"/>
      <c r="D232" s="88">
        <f>IF(OR(B222&gt;0,D222&gt;0),1/(1+(10^-((D231-B231)/400)))*(B222+D222),0)</f>
        <v>0</v>
      </c>
      <c r="E232" s="88">
        <f>IF(OR(E222&gt;0,G222&gt;0),1/(1+(10^-((E231-G231)/400)))*(E222+G222),0)</f>
        <v>0</v>
      </c>
      <c r="F232" s="88"/>
      <c r="G232" s="88">
        <f>IF(OR(E222&gt;0,G222&gt;0),1/(1+(10^-((G231-E231)/400)))*(E222+G222),0)</f>
        <v>0</v>
      </c>
      <c r="H232" s="88">
        <f>IF(OR(H222&gt;0,J222&gt;0),1/(1+(10^-((H231-J231)/400)))*(H222+J222),0)</f>
        <v>0</v>
      </c>
      <c r="I232" s="88"/>
      <c r="J232" s="88">
        <f>IF(OR(H222&gt;0,J222&gt;0),1/(1+(10^-((J231-H231)/400)))*(H222+J222),0)</f>
        <v>0</v>
      </c>
      <c r="K232" s="88"/>
      <c r="U232" s="417" t="s">
        <v>89</v>
      </c>
      <c r="V232" s="417"/>
      <c r="W232" s="417"/>
      <c r="X232" s="88">
        <f>IF(OR(X222&gt;0,Z222&gt;0),1/(1+(10^-((X231-Z231)/400)))*(X222+Z222),0)</f>
        <v>0</v>
      </c>
      <c r="Y232" s="88"/>
      <c r="Z232" s="88">
        <f>IF(OR(X222&gt;0,Z222&gt;0),1/(1+(10^-((Z231-X231)/400)))*(X222+Z222),0)</f>
        <v>0</v>
      </c>
      <c r="AA232" s="88">
        <f>IF(OR(AA222&gt;0,AC222&gt;0),1/(1+(10^-((AA231-AC231)/400)))*(AA222+AC222),0)</f>
        <v>0</v>
      </c>
      <c r="AB232" s="88"/>
      <c r="AC232" s="88">
        <f>IF(OR(AA222&gt;0,AC222&gt;0),1/(1+(10^-((AC231-AA231)/400)))*(AA222+AC222),0)</f>
        <v>0</v>
      </c>
      <c r="AD232" s="88">
        <f>IF(OR(AD222&gt;0,AF222&gt;0),1/(1+(10^-((AD231-AF231)/400)))*(AD222+AF222),0)</f>
        <v>0</v>
      </c>
      <c r="AE232" s="88"/>
      <c r="AF232" s="88">
        <f>IF(OR(AD222&gt;0,AF222&gt;0),1/(1+(10^-((AF231-AD231)/400)))*(AD222+AF222),0)</f>
        <v>0</v>
      </c>
      <c r="AT232" t="str">
        <f>X229</f>
        <v>MOTO 12'1</v>
      </c>
      <c r="AU232">
        <f>AF229</f>
        <v>1153.4695015289756</v>
      </c>
      <c r="AW232" s="149"/>
      <c r="AX232" s="74"/>
      <c r="AY232" s="74"/>
      <c r="AZ232" s="74"/>
      <c r="BA232" s="74"/>
      <c r="BB232" s="149"/>
      <c r="BC232" s="74"/>
      <c r="BD232" s="74"/>
      <c r="BE232" s="149"/>
      <c r="BF232" s="74"/>
      <c r="BG232" s="74"/>
      <c r="BH232" s="149"/>
      <c r="BI232" s="74"/>
      <c r="BJ232" s="74"/>
      <c r="BK232" s="149"/>
      <c r="BL232" s="74"/>
      <c r="BM232" s="74"/>
      <c r="BN232" s="149"/>
      <c r="BO232" s="74"/>
      <c r="BP232" s="74"/>
      <c r="BQ232" s="149"/>
      <c r="BR232" s="74"/>
      <c r="BS232" s="74"/>
      <c r="BT232" s="149"/>
      <c r="BU232" s="74"/>
      <c r="BV232" s="74"/>
      <c r="BW232" s="149"/>
      <c r="BX232" s="74"/>
      <c r="BY232" s="74"/>
      <c r="BZ232" s="149"/>
      <c r="CA232" s="74"/>
      <c r="CB232" s="74"/>
    </row>
    <row r="233" spans="1:80" hidden="1" x14ac:dyDescent="0.25">
      <c r="A233" s="94" t="s">
        <v>90</v>
      </c>
      <c r="B233" s="94">
        <f>B231+(B222-B232)*$BA$2</f>
        <v>1246.5304984710244</v>
      </c>
      <c r="C233" s="94"/>
      <c r="D233" s="94">
        <f>D231+(D222-D232)*$BA$2</f>
        <v>1199.8765772221348</v>
      </c>
      <c r="E233" s="94">
        <f>E231+(E222-E232)*$BA$2</f>
        <v>1258.4581800415169</v>
      </c>
      <c r="G233" s="94">
        <f>G231+(G222-G232)*$BA$2</f>
        <v>1214.5304984710244</v>
      </c>
      <c r="H233" s="94" t="e">
        <f>H231+(H222-H232)*$BA$2</f>
        <v>#N/A</v>
      </c>
      <c r="J233" s="94" t="e">
        <f>J231+(J222-J232)*$BA$2</f>
        <v>#N/A</v>
      </c>
      <c r="K233" s="94"/>
      <c r="U233" s="405" t="s">
        <v>90</v>
      </c>
      <c r="V233" s="405"/>
      <c r="W233" s="405"/>
      <c r="X233" s="94">
        <f>X231+(X222-X232)*$BA$2</f>
        <v>1185.4695015289756</v>
      </c>
      <c r="Y233" s="94"/>
      <c r="Z233" s="94" t="e">
        <f>Z231+(Z222-Z232)*$BA$2</f>
        <v>#N/A</v>
      </c>
      <c r="AA233" s="94">
        <f>AA231+(AA222-AA232)*$BA$2</f>
        <v>1141.6652427363483</v>
      </c>
      <c r="AC233" s="94">
        <f>AC231+(AC222-AC232)*$BA$2</f>
        <v>1153.4695015289756</v>
      </c>
      <c r="AD233" s="94">
        <f>AD231+(AD222-AD232)*$BA$2</f>
        <v>1185.4695015289756</v>
      </c>
      <c r="AF233" s="94" t="e">
        <f>AF231+(AF222-AF232)*$BA$2</f>
        <v>#N/A</v>
      </c>
      <c r="AT233" t="str">
        <f>X230</f>
        <v>BYE</v>
      </c>
      <c r="AU233" t="e">
        <f>AF230</f>
        <v>#N/A</v>
      </c>
      <c r="AW233" s="149"/>
      <c r="AX233" s="74"/>
      <c r="AY233" s="74"/>
      <c r="AZ233" s="74"/>
      <c r="BA233" s="74"/>
      <c r="BB233" s="149"/>
      <c r="BC233" s="74"/>
      <c r="BD233" s="74"/>
      <c r="BE233" s="149"/>
      <c r="BF233" s="74"/>
      <c r="BG233" s="74"/>
      <c r="BH233" s="149"/>
      <c r="BI233" s="74"/>
      <c r="BJ233" s="74"/>
      <c r="BK233" s="149"/>
      <c r="BL233" s="74"/>
      <c r="BM233" s="74"/>
      <c r="BN233" s="149"/>
      <c r="BO233" s="74"/>
      <c r="BP233" s="74"/>
      <c r="BQ233" s="149"/>
      <c r="BR233" s="74"/>
      <c r="BS233" s="74"/>
      <c r="BT233" s="149"/>
      <c r="BU233" s="74"/>
      <c r="BV233" s="74"/>
      <c r="BW233" s="149"/>
      <c r="BX233" s="74"/>
      <c r="BY233" s="74"/>
      <c r="BZ233" s="149"/>
      <c r="CA233" s="74"/>
      <c r="CB233" s="74"/>
    </row>
    <row r="234" spans="1:80" x14ac:dyDescent="0.25">
      <c r="A234" s="406" t="s">
        <v>140</v>
      </c>
      <c r="B234" s="406"/>
      <c r="C234" s="406"/>
      <c r="D234" s="406"/>
      <c r="E234" s="406"/>
      <c r="F234" s="406"/>
      <c r="G234" s="406"/>
      <c r="H234" s="406"/>
      <c r="I234" s="406"/>
      <c r="J234" s="406"/>
      <c r="K234" s="406"/>
      <c r="L234" s="406"/>
      <c r="M234" s="406"/>
      <c r="N234" s="406"/>
      <c r="S234" s="120"/>
      <c r="T234" s="120"/>
      <c r="U234" s="142"/>
      <c r="V234" s="142"/>
      <c r="W234" s="406" t="s">
        <v>140</v>
      </c>
      <c r="X234" s="406"/>
      <c r="Y234" s="406"/>
      <c r="Z234" s="406"/>
      <c r="AA234" s="406"/>
      <c r="AB234" s="406"/>
      <c r="AC234" s="406"/>
      <c r="AD234" s="406"/>
      <c r="AE234" s="406"/>
      <c r="AF234" s="406"/>
      <c r="AG234" s="406"/>
      <c r="AH234" s="406"/>
      <c r="AI234" s="120"/>
      <c r="AJ234" s="120"/>
      <c r="AK234" s="120"/>
      <c r="AZ234" s="74"/>
      <c r="BA234" s="74"/>
    </row>
    <row r="235" spans="1:80" x14ac:dyDescent="0.25">
      <c r="AT235" s="74"/>
      <c r="AU235" s="74"/>
      <c r="AZ235" s="74"/>
      <c r="BA235" s="74"/>
    </row>
    <row r="236" spans="1:80" x14ac:dyDescent="0.25">
      <c r="AT236" s="74"/>
      <c r="AU236" s="74"/>
      <c r="AZ236" s="74"/>
      <c r="BA236" s="74"/>
    </row>
    <row r="237" spans="1:80" x14ac:dyDescent="0.25">
      <c r="AT237" s="74"/>
      <c r="AU237" s="74"/>
      <c r="AZ237" s="74"/>
      <c r="BA237" s="74"/>
    </row>
    <row r="238" spans="1:80" x14ac:dyDescent="0.25">
      <c r="AT238" s="74"/>
      <c r="AU238" s="74"/>
      <c r="AZ238" s="74"/>
      <c r="BA238" s="74"/>
    </row>
    <row r="239" spans="1:80" x14ac:dyDescent="0.25">
      <c r="AT239" s="74"/>
      <c r="AU239" s="74"/>
      <c r="AZ239" s="74"/>
      <c r="BA239" s="74"/>
    </row>
    <row r="240" spans="1:80" x14ac:dyDescent="0.25">
      <c r="AT240" s="74"/>
      <c r="AU240" s="74"/>
      <c r="AZ240" s="74"/>
      <c r="BA240" s="74"/>
    </row>
    <row r="241" spans="46:53" x14ac:dyDescent="0.25">
      <c r="AT241" s="74"/>
      <c r="AU241" s="74"/>
      <c r="AZ241" s="74"/>
      <c r="BA241" s="74"/>
    </row>
    <row r="242" spans="46:53" x14ac:dyDescent="0.25">
      <c r="AT242" s="74"/>
      <c r="AU242" s="74"/>
      <c r="AZ242" s="74"/>
      <c r="BA242" s="74"/>
    </row>
    <row r="243" spans="46:53" x14ac:dyDescent="0.25">
      <c r="AT243" s="74"/>
      <c r="AU243" s="74"/>
      <c r="AZ243" s="74"/>
      <c r="BA243" s="74"/>
    </row>
    <row r="244" spans="46:53" x14ac:dyDescent="0.25">
      <c r="AT244" s="74"/>
      <c r="AU244" s="74"/>
      <c r="AZ244" s="74"/>
      <c r="BA244" s="74"/>
    </row>
    <row r="245" spans="46:53" x14ac:dyDescent="0.25">
      <c r="AT245" s="74"/>
      <c r="AU245" s="74"/>
      <c r="AZ245" s="74"/>
      <c r="BA245" s="74"/>
    </row>
    <row r="246" spans="46:53" x14ac:dyDescent="0.25">
      <c r="AT246" s="74"/>
      <c r="AU246" s="74"/>
      <c r="AZ246" s="74"/>
      <c r="BA246" s="74"/>
    </row>
    <row r="247" spans="46:53" x14ac:dyDescent="0.25">
      <c r="AT247" s="74"/>
      <c r="AU247" s="74"/>
    </row>
    <row r="248" spans="46:53" x14ac:dyDescent="0.25">
      <c r="AT248" s="74"/>
      <c r="AU248" s="74"/>
      <c r="AZ248" s="81"/>
      <c r="BA248" s="81"/>
    </row>
    <row r="249" spans="46:53" x14ac:dyDescent="0.25">
      <c r="AT249" s="74"/>
      <c r="AU249" s="74"/>
      <c r="AZ249" s="81"/>
      <c r="BA249" s="81"/>
    </row>
    <row r="250" spans="46:53" x14ac:dyDescent="0.25">
      <c r="AT250" s="74"/>
      <c r="AU250" s="74"/>
      <c r="AZ250" s="81"/>
      <c r="BA250" s="81"/>
    </row>
    <row r="251" spans="46:53" x14ac:dyDescent="0.25">
      <c r="AT251" s="74"/>
      <c r="AU251" s="74"/>
      <c r="AZ251" s="81"/>
      <c r="BA251" s="81"/>
    </row>
    <row r="252" spans="46:53" x14ac:dyDescent="0.25">
      <c r="AT252" s="74"/>
      <c r="AU252" s="74"/>
      <c r="AZ252" s="81"/>
      <c r="BA252" s="81"/>
    </row>
    <row r="253" spans="46:53" x14ac:dyDescent="0.25">
      <c r="AT253" s="74"/>
      <c r="AU253" s="74"/>
      <c r="AZ253" s="81"/>
      <c r="BA253" s="81"/>
    </row>
    <row r="254" spans="46:53" x14ac:dyDescent="0.25">
      <c r="AT254" s="74"/>
      <c r="AU254" s="74"/>
      <c r="AZ254" s="81"/>
      <c r="BA254" s="81"/>
    </row>
    <row r="255" spans="46:53" x14ac:dyDescent="0.25">
      <c r="AT255" s="74"/>
      <c r="AU255" s="74"/>
      <c r="AZ255" s="81"/>
      <c r="BA255" s="81"/>
    </row>
    <row r="256" spans="46:53" x14ac:dyDescent="0.25">
      <c r="AT256" s="74"/>
      <c r="AU256" s="74"/>
      <c r="AZ256" s="91"/>
      <c r="BA256" s="91"/>
    </row>
    <row r="257" spans="46:53" x14ac:dyDescent="0.25">
      <c r="AT257" s="74"/>
      <c r="AU257" s="74"/>
      <c r="AZ257" s="97"/>
      <c r="BA257" s="97"/>
    </row>
    <row r="258" spans="46:53" x14ac:dyDescent="0.25">
      <c r="AT258" s="74"/>
      <c r="AU258" s="74"/>
      <c r="AZ258" s="97"/>
      <c r="BA258" s="97"/>
    </row>
    <row r="259" spans="46:53" x14ac:dyDescent="0.25">
      <c r="AT259" s="74"/>
      <c r="AU259" s="74"/>
      <c r="AZ259" s="81"/>
      <c r="BA259" s="81"/>
    </row>
    <row r="260" spans="46:53" x14ac:dyDescent="0.25">
      <c r="AT260" s="81"/>
      <c r="AU260" s="81"/>
      <c r="AZ260" s="81"/>
      <c r="BA260" s="81"/>
    </row>
    <row r="261" spans="46:53" x14ac:dyDescent="0.25">
      <c r="AT261" s="81"/>
      <c r="AU261" s="81"/>
    </row>
    <row r="286" spans="46:53" x14ac:dyDescent="0.25">
      <c r="AT286" s="74"/>
      <c r="AU286" s="74"/>
      <c r="AZ286" s="74"/>
      <c r="BA286" s="74"/>
    </row>
    <row r="287" spans="46:53" x14ac:dyDescent="0.25">
      <c r="AT287" s="74"/>
      <c r="AU287" s="74"/>
      <c r="AZ287" s="74"/>
      <c r="BA287" s="74"/>
    </row>
    <row r="288" spans="46:53" x14ac:dyDescent="0.25">
      <c r="AT288" s="74"/>
      <c r="AU288" s="74"/>
      <c r="AZ288" s="74"/>
      <c r="BA288" s="74"/>
    </row>
    <row r="289" spans="46:53" x14ac:dyDescent="0.25">
      <c r="AT289" s="74"/>
      <c r="AU289" s="74"/>
      <c r="AZ289" s="74"/>
      <c r="BA289" s="74"/>
    </row>
    <row r="290" spans="46:53" x14ac:dyDescent="0.25">
      <c r="AT290" s="74"/>
      <c r="AU290" s="74"/>
      <c r="AZ290" s="74"/>
      <c r="BA290" s="74"/>
    </row>
    <row r="291" spans="46:53" x14ac:dyDescent="0.25">
      <c r="AT291" s="74"/>
      <c r="AU291" s="74"/>
      <c r="AZ291" s="74"/>
      <c r="BA291" s="74"/>
    </row>
    <row r="292" spans="46:53" x14ac:dyDescent="0.25">
      <c r="AT292" s="74"/>
      <c r="AU292" s="74"/>
      <c r="AZ292" s="74"/>
      <c r="BA292" s="74"/>
    </row>
    <row r="293" spans="46:53" x14ac:dyDescent="0.25">
      <c r="AT293" s="74"/>
      <c r="AU293" s="74"/>
      <c r="AZ293" s="74"/>
      <c r="BA293" s="74"/>
    </row>
    <row r="294" spans="46:53" x14ac:dyDescent="0.25">
      <c r="AT294" s="74"/>
      <c r="AU294" s="74"/>
      <c r="AZ294" s="74"/>
      <c r="BA294" s="74"/>
    </row>
    <row r="295" spans="46:53" x14ac:dyDescent="0.25">
      <c r="AT295" s="74"/>
      <c r="AU295" s="74"/>
      <c r="AZ295" s="74"/>
      <c r="BA295" s="74"/>
    </row>
    <row r="296" spans="46:53" x14ac:dyDescent="0.25">
      <c r="AT296" s="74"/>
      <c r="AU296" s="74"/>
      <c r="AZ296" s="74"/>
      <c r="BA296" s="74"/>
    </row>
    <row r="297" spans="46:53" x14ac:dyDescent="0.25">
      <c r="AT297" s="74"/>
      <c r="AU297" s="74"/>
      <c r="AZ297" s="74"/>
      <c r="BA297" s="74"/>
    </row>
    <row r="298" spans="46:53" x14ac:dyDescent="0.25">
      <c r="AT298" s="74"/>
      <c r="AU298" s="74"/>
      <c r="AZ298" s="74"/>
      <c r="BA298" s="74"/>
    </row>
    <row r="299" spans="46:53" x14ac:dyDescent="0.25">
      <c r="AT299" s="74"/>
      <c r="AU299" s="74"/>
      <c r="AZ299" s="74"/>
      <c r="BA299" s="74"/>
    </row>
    <row r="300" spans="46:53" x14ac:dyDescent="0.25">
      <c r="AT300" s="74"/>
      <c r="AU300" s="74"/>
      <c r="AZ300" s="74"/>
      <c r="BA300" s="74"/>
    </row>
    <row r="301" spans="46:53" x14ac:dyDescent="0.25">
      <c r="AT301" s="74"/>
      <c r="AU301" s="74"/>
      <c r="AZ301" s="74"/>
      <c r="BA301" s="74"/>
    </row>
    <row r="302" spans="46:53" x14ac:dyDescent="0.25">
      <c r="AT302" s="74"/>
      <c r="AU302" s="74"/>
      <c r="AZ302" s="74"/>
      <c r="BA302" s="74"/>
    </row>
    <row r="303" spans="46:53" x14ac:dyDescent="0.25">
      <c r="AT303" s="74"/>
      <c r="AU303" s="74"/>
      <c r="AZ303" s="74"/>
      <c r="BA303" s="74"/>
    </row>
    <row r="304" spans="46:53" x14ac:dyDescent="0.25">
      <c r="AT304" s="74"/>
      <c r="AU304" s="74"/>
      <c r="AZ304" s="74"/>
      <c r="BA304" s="74"/>
    </row>
    <row r="305" spans="46:53" x14ac:dyDescent="0.25">
      <c r="AT305" s="74"/>
      <c r="AU305" s="74"/>
      <c r="AZ305" s="74"/>
      <c r="BA305" s="74"/>
    </row>
    <row r="306" spans="46:53" x14ac:dyDescent="0.25">
      <c r="AT306" s="74"/>
      <c r="AU306" s="74"/>
      <c r="AZ306" s="74"/>
      <c r="BA306" s="74"/>
    </row>
    <row r="307" spans="46:53" x14ac:dyDescent="0.25">
      <c r="AT307" s="74"/>
      <c r="AU307" s="74"/>
      <c r="AZ307" s="74"/>
      <c r="BA307" s="74"/>
    </row>
    <row r="308" spans="46:53" x14ac:dyDescent="0.25">
      <c r="AT308" s="74"/>
      <c r="AU308" s="74"/>
      <c r="AZ308" s="74"/>
      <c r="BA308" s="74"/>
    </row>
    <row r="309" spans="46:53" x14ac:dyDescent="0.25">
      <c r="AT309" s="74"/>
      <c r="AU309" s="74"/>
      <c r="AZ309" s="74"/>
      <c r="BA309" s="74"/>
    </row>
    <row r="310" spans="46:53" x14ac:dyDescent="0.25">
      <c r="AT310" s="74"/>
      <c r="AU310" s="74"/>
      <c r="AZ310" s="74"/>
      <c r="BA310" s="74"/>
    </row>
    <row r="311" spans="46:53" x14ac:dyDescent="0.25">
      <c r="AT311" s="74"/>
      <c r="AU311" s="74"/>
      <c r="AZ311" s="74"/>
      <c r="BA311" s="74"/>
    </row>
    <row r="312" spans="46:53" x14ac:dyDescent="0.25">
      <c r="AT312" s="74"/>
      <c r="AU312" s="74"/>
      <c r="AZ312" s="74"/>
      <c r="BA312" s="74"/>
    </row>
    <row r="313" spans="46:53" x14ac:dyDescent="0.25">
      <c r="AT313" s="74"/>
      <c r="AU313" s="74"/>
      <c r="AZ313" s="74"/>
      <c r="BA313" s="74"/>
    </row>
    <row r="314" spans="46:53" x14ac:dyDescent="0.25">
      <c r="AT314" s="74"/>
      <c r="AU314" s="74"/>
      <c r="AZ314" s="74"/>
      <c r="BA314" s="74"/>
    </row>
    <row r="315" spans="46:53" x14ac:dyDescent="0.25">
      <c r="AT315" s="74"/>
      <c r="AU315" s="74"/>
      <c r="AZ315" s="74"/>
      <c r="BA315" s="74"/>
    </row>
    <row r="316" spans="46:53" x14ac:dyDescent="0.25">
      <c r="AT316" s="74"/>
      <c r="AU316" s="74"/>
      <c r="AZ316" s="74"/>
      <c r="BA316" s="74"/>
    </row>
    <row r="317" spans="46:53" x14ac:dyDescent="0.25">
      <c r="AT317" s="74"/>
      <c r="AU317" s="74"/>
      <c r="AZ317" s="74"/>
      <c r="BA317" s="74"/>
    </row>
    <row r="318" spans="46:53" x14ac:dyDescent="0.25">
      <c r="AT318" s="74"/>
      <c r="AU318" s="74"/>
      <c r="AZ318" s="74"/>
      <c r="BA318" s="74"/>
    </row>
    <row r="319" spans="46:53" x14ac:dyDescent="0.25">
      <c r="AT319" s="74"/>
      <c r="AU319" s="74"/>
      <c r="AZ319" s="74"/>
      <c r="BA319" s="74"/>
    </row>
    <row r="320" spans="46:53" x14ac:dyDescent="0.25">
      <c r="AT320" s="74"/>
      <c r="AU320" s="74"/>
      <c r="AZ320" s="74"/>
      <c r="BA320" s="74"/>
    </row>
    <row r="321" spans="46:53" x14ac:dyDescent="0.25">
      <c r="AT321" s="74"/>
      <c r="AU321" s="74"/>
      <c r="AZ321" s="74"/>
      <c r="BA321" s="74"/>
    </row>
    <row r="322" spans="46:53" x14ac:dyDescent="0.25">
      <c r="AT322" s="74"/>
      <c r="AU322" s="74"/>
      <c r="AZ322" s="74"/>
      <c r="BA322" s="74"/>
    </row>
    <row r="323" spans="46:53" x14ac:dyDescent="0.25">
      <c r="AT323" s="74"/>
      <c r="AU323" s="74"/>
      <c r="AZ323" s="74"/>
      <c r="BA323" s="74"/>
    </row>
    <row r="324" spans="46:53" x14ac:dyDescent="0.25">
      <c r="AT324" s="74"/>
      <c r="AU324" s="74"/>
      <c r="AZ324" s="74"/>
      <c r="BA324" s="74"/>
    </row>
    <row r="325" spans="46:53" x14ac:dyDescent="0.25">
      <c r="AT325" s="74"/>
      <c r="AU325" s="74"/>
      <c r="AZ325" s="74"/>
      <c r="BA325" s="74"/>
    </row>
    <row r="326" spans="46:53" x14ac:dyDescent="0.25">
      <c r="AT326" s="74"/>
      <c r="AU326" s="74"/>
      <c r="AZ326" s="74"/>
      <c r="BA326" s="74"/>
    </row>
    <row r="327" spans="46:53" x14ac:dyDescent="0.25">
      <c r="AT327" s="74"/>
      <c r="AU327" s="74"/>
      <c r="AZ327" s="74"/>
      <c r="BA327" s="74"/>
    </row>
    <row r="328" spans="46:53" x14ac:dyDescent="0.25">
      <c r="AT328" s="74"/>
      <c r="AU328" s="74"/>
      <c r="AZ328" s="74"/>
      <c r="BA328" s="74"/>
    </row>
    <row r="329" spans="46:53" x14ac:dyDescent="0.25">
      <c r="AT329" s="74"/>
      <c r="AU329" s="74"/>
      <c r="AZ329" s="74"/>
      <c r="BA329" s="74"/>
    </row>
    <row r="330" spans="46:53" x14ac:dyDescent="0.25">
      <c r="AT330" s="74"/>
      <c r="AU330" s="74"/>
      <c r="AZ330" s="74"/>
      <c r="BA330" s="74"/>
    </row>
    <row r="331" spans="46:53" x14ac:dyDescent="0.25">
      <c r="AT331" s="74"/>
      <c r="AU331" s="74"/>
      <c r="AZ331" s="74"/>
      <c r="BA331" s="74"/>
    </row>
    <row r="332" spans="46:53" x14ac:dyDescent="0.25">
      <c r="AT332" s="81"/>
      <c r="AU332" s="81"/>
    </row>
    <row r="333" spans="46:53" x14ac:dyDescent="0.25">
      <c r="AT333" s="81"/>
      <c r="AU333" s="81"/>
      <c r="AZ333" s="81"/>
      <c r="BA333" s="81"/>
    </row>
    <row r="334" spans="46:53" x14ac:dyDescent="0.25">
      <c r="AZ334" s="81"/>
      <c r="BA334" s="81"/>
    </row>
    <row r="335" spans="46:53" x14ac:dyDescent="0.25">
      <c r="AZ335" s="81"/>
      <c r="BA335" s="81"/>
    </row>
    <row r="336" spans="46:53" x14ac:dyDescent="0.25">
      <c r="AZ336" s="81"/>
      <c r="BA336" s="81"/>
    </row>
    <row r="337" spans="46:53" x14ac:dyDescent="0.25">
      <c r="AZ337" s="81"/>
      <c r="BA337" s="81"/>
    </row>
    <row r="338" spans="46:53" x14ac:dyDescent="0.25">
      <c r="AZ338" s="81"/>
      <c r="BA338" s="81"/>
    </row>
    <row r="339" spans="46:53" x14ac:dyDescent="0.25">
      <c r="AZ339" s="81"/>
      <c r="BA339" s="81"/>
    </row>
    <row r="340" spans="46:53" x14ac:dyDescent="0.25">
      <c r="AZ340" s="81"/>
      <c r="BA340" s="81"/>
    </row>
    <row r="341" spans="46:53" x14ac:dyDescent="0.25">
      <c r="AZ341" s="91"/>
      <c r="BA341" s="91"/>
    </row>
    <row r="342" spans="46:53" x14ac:dyDescent="0.25">
      <c r="AZ342" s="97"/>
      <c r="BA342" s="97"/>
    </row>
    <row r="343" spans="46:53" x14ac:dyDescent="0.25">
      <c r="AZ343" s="97"/>
      <c r="BA343" s="97"/>
    </row>
    <row r="344" spans="46:53" x14ac:dyDescent="0.25">
      <c r="AZ344" s="81"/>
      <c r="BA344" s="81"/>
    </row>
    <row r="345" spans="46:53" x14ac:dyDescent="0.25">
      <c r="AZ345" s="81"/>
      <c r="BA345" s="81"/>
    </row>
    <row r="348" spans="46:53" x14ac:dyDescent="0.25">
      <c r="AT348" s="113"/>
    </row>
    <row r="371" spans="46:53" x14ac:dyDescent="0.25">
      <c r="AZ371" s="74"/>
      <c r="BA371" s="74"/>
    </row>
    <row r="372" spans="46:53" x14ac:dyDescent="0.25">
      <c r="AZ372" s="74"/>
      <c r="BA372" s="74"/>
    </row>
    <row r="373" spans="46:53" x14ac:dyDescent="0.25">
      <c r="AZ373" s="74"/>
      <c r="BA373" s="74"/>
    </row>
    <row r="374" spans="46:53" x14ac:dyDescent="0.25">
      <c r="AZ374" s="74"/>
      <c r="BA374" s="74"/>
    </row>
    <row r="375" spans="46:53" x14ac:dyDescent="0.25">
      <c r="AZ375" s="74"/>
      <c r="BA375" s="74"/>
    </row>
    <row r="376" spans="46:53" x14ac:dyDescent="0.25">
      <c r="AZ376" s="74"/>
      <c r="BA376" s="74"/>
    </row>
    <row r="377" spans="46:53" x14ac:dyDescent="0.25">
      <c r="AZ377" s="74"/>
      <c r="BA377" s="74"/>
    </row>
    <row r="378" spans="46:53" x14ac:dyDescent="0.25">
      <c r="AZ378" s="74"/>
      <c r="BA378" s="74"/>
    </row>
    <row r="379" spans="46:53" x14ac:dyDescent="0.25">
      <c r="AZ379" s="74"/>
      <c r="BA379" s="74"/>
    </row>
    <row r="380" spans="46:53" x14ac:dyDescent="0.25">
      <c r="AZ380" s="74"/>
      <c r="BA380" s="74"/>
    </row>
    <row r="381" spans="46:53" x14ac:dyDescent="0.25">
      <c r="AZ381" s="74"/>
      <c r="BA381" s="74"/>
    </row>
    <row r="382" spans="46:53" x14ac:dyDescent="0.25">
      <c r="AZ382" s="74"/>
      <c r="BA382" s="74"/>
    </row>
    <row r="383" spans="46:53" x14ac:dyDescent="0.25">
      <c r="AZ383" s="74"/>
      <c r="BA383" s="74"/>
    </row>
    <row r="384" spans="46:53" x14ac:dyDescent="0.25">
      <c r="AT384" s="113"/>
      <c r="AZ384" s="74"/>
      <c r="BA384" s="74"/>
    </row>
    <row r="385" spans="52:53" x14ac:dyDescent="0.25">
      <c r="AZ385" s="74"/>
      <c r="BA385" s="74"/>
    </row>
    <row r="386" spans="52:53" x14ac:dyDescent="0.25">
      <c r="AZ386" s="74"/>
      <c r="BA386" s="74"/>
    </row>
    <row r="387" spans="52:53" x14ac:dyDescent="0.25">
      <c r="AZ387" s="74"/>
      <c r="BA387" s="74"/>
    </row>
    <row r="388" spans="52:53" x14ac:dyDescent="0.25">
      <c r="AZ388" s="74"/>
      <c r="BA388" s="74"/>
    </row>
    <row r="389" spans="52:53" x14ac:dyDescent="0.25">
      <c r="AZ389" s="74"/>
      <c r="BA389" s="74"/>
    </row>
    <row r="390" spans="52:53" x14ac:dyDescent="0.25">
      <c r="AZ390" s="74"/>
      <c r="BA390" s="74"/>
    </row>
    <row r="391" spans="52:53" x14ac:dyDescent="0.25">
      <c r="AZ391" s="74"/>
      <c r="BA391" s="74"/>
    </row>
    <row r="392" spans="52:53" x14ac:dyDescent="0.25">
      <c r="AZ392" s="74"/>
      <c r="BA392" s="74"/>
    </row>
    <row r="393" spans="52:53" x14ac:dyDescent="0.25">
      <c r="AZ393" s="74"/>
      <c r="BA393" s="74"/>
    </row>
    <row r="394" spans="52:53" x14ac:dyDescent="0.25">
      <c r="AZ394" s="74"/>
      <c r="BA394" s="74"/>
    </row>
    <row r="395" spans="52:53" x14ac:dyDescent="0.25">
      <c r="AZ395" s="74"/>
      <c r="BA395" s="74"/>
    </row>
    <row r="396" spans="52:53" x14ac:dyDescent="0.25">
      <c r="AZ396" s="74"/>
      <c r="BA396" s="74"/>
    </row>
    <row r="397" spans="52:53" x14ac:dyDescent="0.25">
      <c r="AZ397" s="74"/>
      <c r="BA397" s="74"/>
    </row>
    <row r="398" spans="52:53" x14ac:dyDescent="0.25">
      <c r="AZ398" s="74"/>
      <c r="BA398" s="74"/>
    </row>
    <row r="399" spans="52:53" x14ac:dyDescent="0.25">
      <c r="AZ399" s="74"/>
      <c r="BA399" s="74"/>
    </row>
    <row r="400" spans="52:53" x14ac:dyDescent="0.25">
      <c r="AZ400" s="74"/>
      <c r="BA400" s="74"/>
    </row>
    <row r="401" spans="52:53" x14ac:dyDescent="0.25">
      <c r="AZ401" s="74"/>
      <c r="BA401" s="74"/>
    </row>
    <row r="402" spans="52:53" x14ac:dyDescent="0.25">
      <c r="AZ402" s="74"/>
      <c r="BA402" s="74"/>
    </row>
    <row r="403" spans="52:53" x14ac:dyDescent="0.25">
      <c r="AZ403" s="74"/>
      <c r="BA403" s="74"/>
    </row>
    <row r="404" spans="52:53" x14ac:dyDescent="0.25">
      <c r="AZ404" s="74"/>
      <c r="BA404" s="74"/>
    </row>
    <row r="405" spans="52:53" x14ac:dyDescent="0.25">
      <c r="AZ405" s="74"/>
      <c r="BA405" s="74"/>
    </row>
    <row r="406" spans="52:53" x14ac:dyDescent="0.25">
      <c r="AZ406" s="74"/>
      <c r="BA406" s="74"/>
    </row>
    <row r="407" spans="52:53" x14ac:dyDescent="0.25">
      <c r="AZ407" s="74"/>
      <c r="BA407" s="74"/>
    </row>
    <row r="408" spans="52:53" x14ac:dyDescent="0.25">
      <c r="AZ408" s="74"/>
      <c r="BA408" s="74"/>
    </row>
    <row r="409" spans="52:53" x14ac:dyDescent="0.25">
      <c r="AZ409" s="74"/>
      <c r="BA409" s="74"/>
    </row>
    <row r="410" spans="52:53" x14ac:dyDescent="0.25">
      <c r="AZ410" s="74"/>
      <c r="BA410" s="74"/>
    </row>
    <row r="411" spans="52:53" x14ac:dyDescent="0.25">
      <c r="AZ411" s="74"/>
      <c r="BA411" s="74"/>
    </row>
    <row r="412" spans="52:53" x14ac:dyDescent="0.25">
      <c r="AZ412" s="74"/>
      <c r="BA412" s="74"/>
    </row>
    <row r="413" spans="52:53" x14ac:dyDescent="0.25">
      <c r="AZ413" s="74"/>
      <c r="BA413" s="74"/>
    </row>
    <row r="414" spans="52:53" x14ac:dyDescent="0.25">
      <c r="AZ414" s="74"/>
      <c r="BA414" s="74"/>
    </row>
    <row r="415" spans="52:53" x14ac:dyDescent="0.25">
      <c r="AZ415" s="74"/>
      <c r="BA415" s="74"/>
    </row>
    <row r="416" spans="52:53" x14ac:dyDescent="0.25">
      <c r="AZ416" s="74"/>
      <c r="BA416" s="74"/>
    </row>
    <row r="418" spans="52:53" x14ac:dyDescent="0.25">
      <c r="AZ418" s="81"/>
      <c r="BA418" s="81"/>
    </row>
    <row r="419" spans="52:53" x14ac:dyDescent="0.25">
      <c r="AZ419" s="81"/>
      <c r="BA419" s="81"/>
    </row>
    <row r="420" spans="52:53" x14ac:dyDescent="0.25">
      <c r="AZ420" s="81"/>
      <c r="BA420" s="81"/>
    </row>
    <row r="421" spans="52:53" x14ac:dyDescent="0.25">
      <c r="AZ421" s="81"/>
      <c r="BA421" s="81"/>
    </row>
    <row r="422" spans="52:53" x14ac:dyDescent="0.25">
      <c r="AZ422" s="81"/>
      <c r="BA422" s="81"/>
    </row>
    <row r="423" spans="52:53" x14ac:dyDescent="0.25">
      <c r="AZ423" s="81"/>
      <c r="BA423" s="81"/>
    </row>
    <row r="424" spans="52:53" x14ac:dyDescent="0.25">
      <c r="AZ424" s="81"/>
      <c r="BA424" s="81"/>
    </row>
    <row r="425" spans="52:53" x14ac:dyDescent="0.25">
      <c r="AZ425" s="81"/>
      <c r="BA425" s="81"/>
    </row>
    <row r="426" spans="52:53" x14ac:dyDescent="0.25">
      <c r="AZ426" s="91"/>
      <c r="BA426" s="91"/>
    </row>
    <row r="427" spans="52:53" x14ac:dyDescent="0.25">
      <c r="AZ427" s="97"/>
      <c r="BA427" s="97"/>
    </row>
    <row r="428" spans="52:53" x14ac:dyDescent="0.25">
      <c r="AZ428" s="97"/>
      <c r="BA428" s="97"/>
    </row>
    <row r="429" spans="52:53" x14ac:dyDescent="0.25">
      <c r="AZ429" s="81"/>
      <c r="BA429" s="81"/>
    </row>
    <row r="430" spans="52:53" x14ac:dyDescent="0.25">
      <c r="AZ430" s="81"/>
      <c r="BA430" s="81"/>
    </row>
  </sheetData>
  <sheetProtection sheet="1" formatCells="0" selectLockedCells="1"/>
  <mergeCells count="431">
    <mergeCell ref="U233:W233"/>
    <mergeCell ref="A234:N234"/>
    <mergeCell ref="W234:AH234"/>
    <mergeCell ref="U221:W221"/>
    <mergeCell ref="U222:W222"/>
    <mergeCell ref="K223:N225"/>
    <mergeCell ref="AG223:AH225"/>
    <mergeCell ref="U231:W231"/>
    <mergeCell ref="U232:W232"/>
    <mergeCell ref="AG218:AH218"/>
    <mergeCell ref="U219:W219"/>
    <mergeCell ref="U220:W220"/>
    <mergeCell ref="B217:D217"/>
    <mergeCell ref="E217:G217"/>
    <mergeCell ref="H217:J217"/>
    <mergeCell ref="U217:W217"/>
    <mergeCell ref="X217:Z217"/>
    <mergeCell ref="AA217:AC217"/>
    <mergeCell ref="B216:D216"/>
    <mergeCell ref="E216:G216"/>
    <mergeCell ref="H216:J216"/>
    <mergeCell ref="U216:W216"/>
    <mergeCell ref="X216:Z216"/>
    <mergeCell ref="AA216:AC216"/>
    <mergeCell ref="AD216:AF216"/>
    <mergeCell ref="AD217:AF217"/>
    <mergeCell ref="K218:N218"/>
    <mergeCell ref="U218:W218"/>
    <mergeCell ref="B213:J213"/>
    <mergeCell ref="K213:Q213"/>
    <mergeCell ref="V213:X213"/>
    <mergeCell ref="Y213:AG213"/>
    <mergeCell ref="AH213:AN213"/>
    <mergeCell ref="B215:D215"/>
    <mergeCell ref="E215:G215"/>
    <mergeCell ref="H215:J215"/>
    <mergeCell ref="L215:N215"/>
    <mergeCell ref="X215:Z215"/>
    <mergeCell ref="AA215:AC215"/>
    <mergeCell ref="AD215:AF215"/>
    <mergeCell ref="AG215:AH215"/>
    <mergeCell ref="B211:J211"/>
    <mergeCell ref="K211:Q211"/>
    <mergeCell ref="V211:X211"/>
    <mergeCell ref="Y211:AG211"/>
    <mergeCell ref="AH211:AN211"/>
    <mergeCell ref="B212:J212"/>
    <mergeCell ref="K212:Q212"/>
    <mergeCell ref="V212:X212"/>
    <mergeCell ref="Y212:AG212"/>
    <mergeCell ref="AH212:AN212"/>
    <mergeCell ref="B209:J209"/>
    <mergeCell ref="K209:Q209"/>
    <mergeCell ref="V209:X209"/>
    <mergeCell ref="Y209:AG209"/>
    <mergeCell ref="AH209:AN209"/>
    <mergeCell ref="B210:J210"/>
    <mergeCell ref="K210:Q210"/>
    <mergeCell ref="V210:X210"/>
    <mergeCell ref="Y210:AG210"/>
    <mergeCell ref="AH210:AN210"/>
    <mergeCell ref="A204:E204"/>
    <mergeCell ref="V204:AB204"/>
    <mergeCell ref="A205:E205"/>
    <mergeCell ref="V205:AB205"/>
    <mergeCell ref="A208:J208"/>
    <mergeCell ref="V208:AG208"/>
    <mergeCell ref="AC202:AF202"/>
    <mergeCell ref="AG202:AI202"/>
    <mergeCell ref="A203:E203"/>
    <mergeCell ref="F203:N203"/>
    <mergeCell ref="U203:AA203"/>
    <mergeCell ref="AC203:AI203"/>
    <mergeCell ref="A200:E200"/>
    <mergeCell ref="J200:Q200"/>
    <mergeCell ref="V200:AB200"/>
    <mergeCell ref="A202:D202"/>
    <mergeCell ref="F202:I202"/>
    <mergeCell ref="J202:N202"/>
    <mergeCell ref="U202:AB202"/>
    <mergeCell ref="J198:Q198"/>
    <mergeCell ref="AG198:AK198"/>
    <mergeCell ref="A199:E199"/>
    <mergeCell ref="F199:I199"/>
    <mergeCell ref="J199:Q199"/>
    <mergeCell ref="V199:AB199"/>
    <mergeCell ref="AC199:AF199"/>
    <mergeCell ref="AG199:AK199"/>
    <mergeCell ref="A195:E195"/>
    <mergeCell ref="V195:AB195"/>
    <mergeCell ref="A196:E196"/>
    <mergeCell ref="V196:AB196"/>
    <mergeCell ref="F197:I197"/>
    <mergeCell ref="AC197:AF197"/>
    <mergeCell ref="A193:E193"/>
    <mergeCell ref="F193:N193"/>
    <mergeCell ref="U193:AA193"/>
    <mergeCell ref="AC193:AI193"/>
    <mergeCell ref="A194:E194"/>
    <mergeCell ref="F194:I194"/>
    <mergeCell ref="J194:N194"/>
    <mergeCell ref="U194:AA194"/>
    <mergeCell ref="AC194:AF194"/>
    <mergeCell ref="AG194:AI194"/>
    <mergeCell ref="A188:P188"/>
    <mergeCell ref="S188:AG188"/>
    <mergeCell ref="A190:E190"/>
    <mergeCell ref="V190:AB190"/>
    <mergeCell ref="A191:E191"/>
    <mergeCell ref="V191:AB191"/>
    <mergeCell ref="AL180:AO180"/>
    <mergeCell ref="A182:AQ182"/>
    <mergeCell ref="A183:AR183"/>
    <mergeCell ref="A184:AR184"/>
    <mergeCell ref="A185:AR185"/>
    <mergeCell ref="A186:L186"/>
    <mergeCell ref="B179:G179"/>
    <mergeCell ref="H179:K179"/>
    <mergeCell ref="L179:Q179"/>
    <mergeCell ref="R179:U179"/>
    <mergeCell ref="V179:AA179"/>
    <mergeCell ref="AB179:AE179"/>
    <mergeCell ref="AF179:AK179"/>
    <mergeCell ref="AL179:AO179"/>
    <mergeCell ref="B180:G180"/>
    <mergeCell ref="H180:K180"/>
    <mergeCell ref="L180:Q180"/>
    <mergeCell ref="R180:U180"/>
    <mergeCell ref="V180:AA180"/>
    <mergeCell ref="AB180:AE180"/>
    <mergeCell ref="AF180:AK180"/>
    <mergeCell ref="A175:AR175"/>
    <mergeCell ref="A176:AQ176"/>
    <mergeCell ref="A177:A178"/>
    <mergeCell ref="B177:K177"/>
    <mergeCell ref="L177:U177"/>
    <mergeCell ref="V177:AE177"/>
    <mergeCell ref="AF177:AO177"/>
    <mergeCell ref="B178:G178"/>
    <mergeCell ref="H178:K178"/>
    <mergeCell ref="L178:Q178"/>
    <mergeCell ref="R178:U178"/>
    <mergeCell ref="V178:AA178"/>
    <mergeCell ref="AB178:AE178"/>
    <mergeCell ref="AF178:AK178"/>
    <mergeCell ref="AL178:AO178"/>
    <mergeCell ref="AD108:AF108"/>
    <mergeCell ref="AH142:AL142"/>
    <mergeCell ref="A174:AM174"/>
    <mergeCell ref="AN174:AQ174"/>
    <mergeCell ref="X107:Z107"/>
    <mergeCell ref="AA107:AC107"/>
    <mergeCell ref="AD107:AF107"/>
    <mergeCell ref="B108:D108"/>
    <mergeCell ref="E108:G108"/>
    <mergeCell ref="H108:J108"/>
    <mergeCell ref="L108:N108"/>
    <mergeCell ref="O108:Q108"/>
    <mergeCell ref="R108:T108"/>
    <mergeCell ref="U108:W108"/>
    <mergeCell ref="B107:D107"/>
    <mergeCell ref="E107:G107"/>
    <mergeCell ref="H107:J107"/>
    <mergeCell ref="L107:N107"/>
    <mergeCell ref="O107:Q107"/>
    <mergeCell ref="R107:T107"/>
    <mergeCell ref="U107:W107"/>
    <mergeCell ref="X108:Z108"/>
    <mergeCell ref="AA108:AC108"/>
    <mergeCell ref="E106:G106"/>
    <mergeCell ref="H106:J106"/>
    <mergeCell ref="L106:N106"/>
    <mergeCell ref="O106:Q106"/>
    <mergeCell ref="R106:T106"/>
    <mergeCell ref="U106:W106"/>
    <mergeCell ref="X106:Z106"/>
    <mergeCell ref="AA106:AC106"/>
    <mergeCell ref="AD106:AF106"/>
    <mergeCell ref="B103:AJ103"/>
    <mergeCell ref="B104:D104"/>
    <mergeCell ref="E104:G104"/>
    <mergeCell ref="H104:J104"/>
    <mergeCell ref="K104:K114"/>
    <mergeCell ref="L104:N104"/>
    <mergeCell ref="O104:Q104"/>
    <mergeCell ref="R104:T104"/>
    <mergeCell ref="U104:W104"/>
    <mergeCell ref="X104:Z104"/>
    <mergeCell ref="AA104:AC104"/>
    <mergeCell ref="AD104:AF104"/>
    <mergeCell ref="AG104:AR107"/>
    <mergeCell ref="B105:D105"/>
    <mergeCell ref="E105:G105"/>
    <mergeCell ref="H105:J105"/>
    <mergeCell ref="L105:N105"/>
    <mergeCell ref="O105:Q105"/>
    <mergeCell ref="R105:T105"/>
    <mergeCell ref="U105:W105"/>
    <mergeCell ref="X105:Z105"/>
    <mergeCell ref="AA105:AC105"/>
    <mergeCell ref="AD105:AF105"/>
    <mergeCell ref="B106:D106"/>
    <mergeCell ref="AA101:AC102"/>
    <mergeCell ref="AD101:AF102"/>
    <mergeCell ref="AG101:AG102"/>
    <mergeCell ref="AH101:AH102"/>
    <mergeCell ref="AI101:AJ102"/>
    <mergeCell ref="B102:D102"/>
    <mergeCell ref="E102:L102"/>
    <mergeCell ref="A101:A102"/>
    <mergeCell ref="B101:D101"/>
    <mergeCell ref="E101:L101"/>
    <mergeCell ref="M101:Q102"/>
    <mergeCell ref="S101:W102"/>
    <mergeCell ref="X101:Z102"/>
    <mergeCell ref="AG99:AG100"/>
    <mergeCell ref="AH99:AH100"/>
    <mergeCell ref="AI99:AJ100"/>
    <mergeCell ref="B100:D100"/>
    <mergeCell ref="E100:L100"/>
    <mergeCell ref="AI97:AJ98"/>
    <mergeCell ref="B98:D98"/>
    <mergeCell ref="E98:L98"/>
    <mergeCell ref="AD97:AF98"/>
    <mergeCell ref="AG97:AG98"/>
    <mergeCell ref="AH97:AH98"/>
    <mergeCell ref="A97:A98"/>
    <mergeCell ref="B97:D97"/>
    <mergeCell ref="E97:L97"/>
    <mergeCell ref="M97:Q98"/>
    <mergeCell ref="X95:Z96"/>
    <mergeCell ref="AA95:AC96"/>
    <mergeCell ref="AD95:AF96"/>
    <mergeCell ref="A99:A100"/>
    <mergeCell ref="B99:D99"/>
    <mergeCell ref="E99:L99"/>
    <mergeCell ref="M99:Q100"/>
    <mergeCell ref="S99:W100"/>
    <mergeCell ref="X99:Z100"/>
    <mergeCell ref="AA99:AC100"/>
    <mergeCell ref="S97:W98"/>
    <mergeCell ref="X97:Z98"/>
    <mergeCell ref="AA97:AC98"/>
    <mergeCell ref="AD99:AF100"/>
    <mergeCell ref="AH93:AH94"/>
    <mergeCell ref="AI93:AJ94"/>
    <mergeCell ref="B94:D94"/>
    <mergeCell ref="E94:L94"/>
    <mergeCell ref="A95:A96"/>
    <mergeCell ref="B95:D95"/>
    <mergeCell ref="E95:L95"/>
    <mergeCell ref="M95:Q96"/>
    <mergeCell ref="S95:W96"/>
    <mergeCell ref="B96:D96"/>
    <mergeCell ref="E96:L96"/>
    <mergeCell ref="A90:AR90"/>
    <mergeCell ref="C91:H91"/>
    <mergeCell ref="I91:J91"/>
    <mergeCell ref="K91:AJ91"/>
    <mergeCell ref="B92:L92"/>
    <mergeCell ref="M92:Q92"/>
    <mergeCell ref="R92:R102"/>
    <mergeCell ref="S92:W92"/>
    <mergeCell ref="X92:Z92"/>
    <mergeCell ref="AA92:AC92"/>
    <mergeCell ref="AD92:AF92"/>
    <mergeCell ref="AI92:AJ92"/>
    <mergeCell ref="A93:A94"/>
    <mergeCell ref="B93:D93"/>
    <mergeCell ref="E93:L93"/>
    <mergeCell ref="M93:Q94"/>
    <mergeCell ref="S93:W94"/>
    <mergeCell ref="X93:Z94"/>
    <mergeCell ref="AA93:AC94"/>
    <mergeCell ref="AD93:AF94"/>
    <mergeCell ref="AG95:AG96"/>
    <mergeCell ref="AH95:AH96"/>
    <mergeCell ref="AI95:AJ96"/>
    <mergeCell ref="AG93:AG94"/>
    <mergeCell ref="AD23:AF23"/>
    <mergeCell ref="AH57:AL57"/>
    <mergeCell ref="A89:AM89"/>
    <mergeCell ref="AN89:AQ89"/>
    <mergeCell ref="X22:Z22"/>
    <mergeCell ref="AA22:AC22"/>
    <mergeCell ref="AD22:AF22"/>
    <mergeCell ref="B23:D23"/>
    <mergeCell ref="E23:G23"/>
    <mergeCell ref="H23:J23"/>
    <mergeCell ref="L23:N23"/>
    <mergeCell ref="O23:Q23"/>
    <mergeCell ref="R23:T23"/>
    <mergeCell ref="U23:W23"/>
    <mergeCell ref="B22:D22"/>
    <mergeCell ref="E22:G22"/>
    <mergeCell ref="H22:J22"/>
    <mergeCell ref="L22:N22"/>
    <mergeCell ref="O22:Q22"/>
    <mergeCell ref="R22:T22"/>
    <mergeCell ref="U22:W22"/>
    <mergeCell ref="X23:Z23"/>
    <mergeCell ref="AA23:AC23"/>
    <mergeCell ref="O20:Q20"/>
    <mergeCell ref="R20:T20"/>
    <mergeCell ref="U20:W20"/>
    <mergeCell ref="X20:Z20"/>
    <mergeCell ref="AA20:AC20"/>
    <mergeCell ref="AD20:AF20"/>
    <mergeCell ref="B21:D21"/>
    <mergeCell ref="E21:G21"/>
    <mergeCell ref="H21:J21"/>
    <mergeCell ref="L21:N21"/>
    <mergeCell ref="O21:Q21"/>
    <mergeCell ref="R21:T21"/>
    <mergeCell ref="U21:W21"/>
    <mergeCell ref="X21:Z21"/>
    <mergeCell ref="AA21:AC21"/>
    <mergeCell ref="AD21:AF21"/>
    <mergeCell ref="AI16:AJ17"/>
    <mergeCell ref="B17:D17"/>
    <mergeCell ref="E17:L17"/>
    <mergeCell ref="AH14:AH15"/>
    <mergeCell ref="AI14:AJ15"/>
    <mergeCell ref="B15:D15"/>
    <mergeCell ref="E15:L15"/>
    <mergeCell ref="B18:AJ18"/>
    <mergeCell ref="B19:D19"/>
    <mergeCell ref="E19:G19"/>
    <mergeCell ref="H19:J19"/>
    <mergeCell ref="K19:K29"/>
    <mergeCell ref="L19:N19"/>
    <mergeCell ref="O19:Q19"/>
    <mergeCell ref="R19:T19"/>
    <mergeCell ref="U19:W19"/>
    <mergeCell ref="X19:Z19"/>
    <mergeCell ref="AA19:AC19"/>
    <mergeCell ref="AD19:AF19"/>
    <mergeCell ref="AG19:AR22"/>
    <mergeCell ref="B20:D20"/>
    <mergeCell ref="E20:G20"/>
    <mergeCell ref="H20:J20"/>
    <mergeCell ref="L20:N20"/>
    <mergeCell ref="AT13:AY14"/>
    <mergeCell ref="A14:A15"/>
    <mergeCell ref="B14:D14"/>
    <mergeCell ref="E14:L14"/>
    <mergeCell ref="M14:Q15"/>
    <mergeCell ref="S14:W15"/>
    <mergeCell ref="X14:Z15"/>
    <mergeCell ref="AA14:AC15"/>
    <mergeCell ref="AD14:AF15"/>
    <mergeCell ref="AG14:AG15"/>
    <mergeCell ref="AA12:AC13"/>
    <mergeCell ref="AD12:AF13"/>
    <mergeCell ref="AG12:AG13"/>
    <mergeCell ref="AH12:AH13"/>
    <mergeCell ref="AI12:AJ13"/>
    <mergeCell ref="B13:D13"/>
    <mergeCell ref="E13:L13"/>
    <mergeCell ref="A12:A13"/>
    <mergeCell ref="AA10:AC11"/>
    <mergeCell ref="AD10:AF11"/>
    <mergeCell ref="AG10:AG11"/>
    <mergeCell ref="AH10:AH11"/>
    <mergeCell ref="A16:A17"/>
    <mergeCell ref="B16:D16"/>
    <mergeCell ref="E16:L16"/>
    <mergeCell ref="M16:Q17"/>
    <mergeCell ref="S16:W17"/>
    <mergeCell ref="X16:Z17"/>
    <mergeCell ref="AA16:AC17"/>
    <mergeCell ref="AD16:AF17"/>
    <mergeCell ref="AG16:AG17"/>
    <mergeCell ref="AH16:AH17"/>
    <mergeCell ref="A10:A11"/>
    <mergeCell ref="B10:D10"/>
    <mergeCell ref="E10:L10"/>
    <mergeCell ref="M10:Q11"/>
    <mergeCell ref="S10:W11"/>
    <mergeCell ref="X10:Z11"/>
    <mergeCell ref="B12:D12"/>
    <mergeCell ref="E12:L12"/>
    <mergeCell ref="M12:Q13"/>
    <mergeCell ref="S12:W13"/>
    <mergeCell ref="X12:Z13"/>
    <mergeCell ref="B7:L7"/>
    <mergeCell ref="M7:Q7"/>
    <mergeCell ref="R7:R17"/>
    <mergeCell ref="S7:W7"/>
    <mergeCell ref="X7:Z7"/>
    <mergeCell ref="AA7:AC7"/>
    <mergeCell ref="AD7:AF7"/>
    <mergeCell ref="AI7:AJ7"/>
    <mergeCell ref="A8:A9"/>
    <mergeCell ref="B8:D8"/>
    <mergeCell ref="E8:L8"/>
    <mergeCell ref="M8:Q9"/>
    <mergeCell ref="S8:W9"/>
    <mergeCell ref="X8:Z9"/>
    <mergeCell ref="AA8:AC9"/>
    <mergeCell ref="AD8:AF9"/>
    <mergeCell ref="AG8:AG9"/>
    <mergeCell ref="AI10:AJ11"/>
    <mergeCell ref="B11:D11"/>
    <mergeCell ref="E11:L11"/>
    <mergeCell ref="AH8:AH9"/>
    <mergeCell ref="AI8:AJ9"/>
    <mergeCell ref="B9:D9"/>
    <mergeCell ref="E9:L9"/>
    <mergeCell ref="B5:J5"/>
    <mergeCell ref="L5:AF5"/>
    <mergeCell ref="B3:C3"/>
    <mergeCell ref="D3:L3"/>
    <mergeCell ref="M3:P3"/>
    <mergeCell ref="Q3:U3"/>
    <mergeCell ref="V3:AA3"/>
    <mergeCell ref="AC3:AD3"/>
    <mergeCell ref="C6:H6"/>
    <mergeCell ref="I6:J6"/>
    <mergeCell ref="K6:AJ6"/>
    <mergeCell ref="A1:AF1"/>
    <mergeCell ref="AT1:AW1"/>
    <mergeCell ref="AX1:AY1"/>
    <mergeCell ref="J2:U2"/>
    <mergeCell ref="V2:X2"/>
    <mergeCell ref="Y2:AF2"/>
    <mergeCell ref="AE3:AF3"/>
    <mergeCell ref="H4:N4"/>
    <mergeCell ref="O4:U4"/>
    <mergeCell ref="V4:Z4"/>
    <mergeCell ref="AA4:AF4"/>
  </mergeCells>
  <conditionalFormatting sqref="A8 A93">
    <cfRule type="expression" dxfId="1945" priority="1" stopIfTrue="1">
      <formula>IF(AL9&gt;0,0,1)</formula>
    </cfRule>
  </conditionalFormatting>
  <conditionalFormatting sqref="A10:A11 A95:A96">
    <cfRule type="expression" dxfId="1944" priority="2" stopIfTrue="1">
      <formula>IF(AL9&gt;1,0,1)</formula>
    </cfRule>
  </conditionalFormatting>
  <conditionalFormatting sqref="A12:A13 A97:A98">
    <cfRule type="expression" dxfId="1943" priority="3" stopIfTrue="1">
      <formula>IF(AL9&gt;2,0,1)</formula>
    </cfRule>
  </conditionalFormatting>
  <conditionalFormatting sqref="A14:A15 A99:A100">
    <cfRule type="expression" dxfId="1942" priority="4" stopIfTrue="1">
      <formula>IF(AL9&gt;3,0,1)</formula>
    </cfRule>
  </conditionalFormatting>
  <conditionalFormatting sqref="A16:A17 A101:A102">
    <cfRule type="expression" dxfId="1941" priority="5" stopIfTrue="1">
      <formula>IF(AL9&gt;4,0,1)</formula>
    </cfRule>
  </conditionalFormatting>
  <conditionalFormatting sqref="B8 B93">
    <cfRule type="expression" dxfId="1940" priority="6" stopIfTrue="1">
      <formula>IF(AL9&gt;0,0,1)</formula>
    </cfRule>
  </conditionalFormatting>
  <conditionalFormatting sqref="B9 B94">
    <cfRule type="expression" dxfId="1939" priority="7" stopIfTrue="1">
      <formula>IF(AL9&gt;0,0,1)</formula>
    </cfRule>
  </conditionalFormatting>
  <conditionalFormatting sqref="B10 B95">
    <cfRule type="expression" dxfId="1938" priority="8" stopIfTrue="1">
      <formula>IF(AL9&gt;1,0,1)</formula>
    </cfRule>
  </conditionalFormatting>
  <conditionalFormatting sqref="B11:D11 B96:D96">
    <cfRule type="expression" dxfId="1937" priority="9" stopIfTrue="1">
      <formula>IF(AL9&gt;1,0,1)</formula>
    </cfRule>
  </conditionalFormatting>
  <conditionalFormatting sqref="B12:D12 B97:D97">
    <cfRule type="expression" dxfId="1936" priority="10" stopIfTrue="1">
      <formula>IF(AL9&gt;2,0,1)</formula>
    </cfRule>
  </conditionalFormatting>
  <conditionalFormatting sqref="B13:D13 B98:D98">
    <cfRule type="expression" dxfId="1935" priority="11" stopIfTrue="1">
      <formula>IF(AL9&gt;2,0,1)</formula>
    </cfRule>
  </conditionalFormatting>
  <conditionalFormatting sqref="B14:D14 B99:D99">
    <cfRule type="expression" dxfId="1934" priority="12" stopIfTrue="1">
      <formula>IF(AL9&gt;3,0,1)</formula>
    </cfRule>
  </conditionalFormatting>
  <conditionalFormatting sqref="B15:D15 B100:D100">
    <cfRule type="expression" dxfId="1933" priority="13" stopIfTrue="1">
      <formula>IF(AL9&gt;3,0,1)</formula>
    </cfRule>
  </conditionalFormatting>
  <conditionalFormatting sqref="B16:D16 B101:D101">
    <cfRule type="expression" dxfId="1932" priority="14" stopIfTrue="1">
      <formula>IF(AL9&gt;4,0,1)</formula>
    </cfRule>
  </conditionalFormatting>
  <conditionalFormatting sqref="B17:D17 B102:D102">
    <cfRule type="expression" dxfId="1931" priority="15" stopIfTrue="1">
      <formula>IF(AL9&gt;4,0,1)</formula>
    </cfRule>
  </conditionalFormatting>
  <conditionalFormatting sqref="E8 E93">
    <cfRule type="expression" dxfId="1930" priority="16" stopIfTrue="1">
      <formula>IF(AL9&gt;0,0,1)</formula>
    </cfRule>
  </conditionalFormatting>
  <conditionalFormatting sqref="E9 E94">
    <cfRule type="expression" dxfId="1929" priority="17" stopIfTrue="1">
      <formula>IF(AL9&gt;0,0,1)</formula>
    </cfRule>
  </conditionalFormatting>
  <conditionalFormatting sqref="E10 E95">
    <cfRule type="expression" dxfId="1928" priority="18" stopIfTrue="1">
      <formula>IF(AL9&gt;1,0,1)</formula>
    </cfRule>
  </conditionalFormatting>
  <conditionalFormatting sqref="E11 E96">
    <cfRule type="expression" dxfId="1927" priority="19" stopIfTrue="1">
      <formula>IF(AL9&gt;1,0,1)</formula>
    </cfRule>
  </conditionalFormatting>
  <conditionalFormatting sqref="E12 E97">
    <cfRule type="expression" dxfId="1926" priority="20" stopIfTrue="1">
      <formula>IF(AL9&gt;2,0,1)</formula>
    </cfRule>
  </conditionalFormatting>
  <conditionalFormatting sqref="E13 E98">
    <cfRule type="expression" dxfId="1925" priority="21" stopIfTrue="1">
      <formula>IF(AL9&gt;2,0,1)</formula>
    </cfRule>
  </conditionalFormatting>
  <conditionalFormatting sqref="E14 E99">
    <cfRule type="expression" dxfId="1924" priority="22" stopIfTrue="1">
      <formula>IF(AL9&gt;3,0,1)</formula>
    </cfRule>
  </conditionalFormatting>
  <conditionalFormatting sqref="E15 E100">
    <cfRule type="expression" dxfId="1923" priority="23" stopIfTrue="1">
      <formula>IF(AL9&gt;3,0,1)</formula>
    </cfRule>
  </conditionalFormatting>
  <conditionalFormatting sqref="E16 E101">
    <cfRule type="expression" dxfId="1922" priority="24" stopIfTrue="1">
      <formula>IF(AL9&gt;4,0,1)</formula>
    </cfRule>
  </conditionalFormatting>
  <conditionalFormatting sqref="E17 E102">
    <cfRule type="expression" dxfId="1921" priority="25" stopIfTrue="1">
      <formula>IF(AL9&gt;4,0,1)</formula>
    </cfRule>
  </conditionalFormatting>
  <conditionalFormatting sqref="AD8 AD93">
    <cfRule type="expression" dxfId="1920" priority="26" stopIfTrue="1">
      <formula>IF(AL11=1,IF(AL9&gt;0,0,1),1)</formula>
    </cfRule>
  </conditionalFormatting>
  <conditionalFormatting sqref="AD10:AF11 AD95:AF96">
    <cfRule type="expression" dxfId="1919" priority="27" stopIfTrue="1">
      <formula>IF(AL11=1,IF(AL9&gt;1,0,1),1)</formula>
    </cfRule>
  </conditionalFormatting>
  <conditionalFormatting sqref="AD12:AF13 AD97:AF98">
    <cfRule type="expression" dxfId="1918" priority="28" stopIfTrue="1">
      <formula>IF(AL11=1,IF(AL9&gt;2,0,1),1)</formula>
    </cfRule>
  </conditionalFormatting>
  <conditionalFormatting sqref="AD14:AF15 AD99:AF100">
    <cfRule type="expression" dxfId="1917" priority="29" stopIfTrue="1">
      <formula>IF(AL11=1,IF(AL9&gt;3,0,1),1)</formula>
    </cfRule>
  </conditionalFormatting>
  <conditionalFormatting sqref="AD16:AF17 AD101:AF102">
    <cfRule type="expression" dxfId="1916" priority="30" stopIfTrue="1">
      <formula>IF(AL11=1,IF(AL9&gt;4,0,1),1)</formula>
    </cfRule>
  </conditionalFormatting>
  <conditionalFormatting sqref="AI8 AI93">
    <cfRule type="expression" dxfId="1915" priority="31" stopIfTrue="1">
      <formula>IF(AL9&gt;0,0,1)</formula>
    </cfRule>
  </conditionalFormatting>
  <conditionalFormatting sqref="AI10:AJ11 AI95:AJ96">
    <cfRule type="expression" dxfId="1914" priority="32" stopIfTrue="1">
      <formula>IF(AL9&gt;1,0,1)</formula>
    </cfRule>
  </conditionalFormatting>
  <conditionalFormatting sqref="AI12:AJ13 AI97:AJ98">
    <cfRule type="expression" dxfId="1913" priority="33" stopIfTrue="1">
      <formula>IF(AL9&gt;2,0,1)</formula>
    </cfRule>
  </conditionalFormatting>
  <conditionalFormatting sqref="AI14:AJ15 AI99:AJ100">
    <cfRule type="expression" dxfId="1912" priority="34" stopIfTrue="1">
      <formula>IF(AL9&gt;3,0,1)</formula>
    </cfRule>
  </conditionalFormatting>
  <conditionalFormatting sqref="AI16:AJ17 AI101:AJ102">
    <cfRule type="expression" dxfId="1911" priority="35" stopIfTrue="1">
      <formula>IF(AL9&gt;4,0,1)</formula>
    </cfRule>
  </conditionalFormatting>
  <conditionalFormatting sqref="B19:D19 B104:D104">
    <cfRule type="expression" dxfId="1910" priority="36" stopIfTrue="1">
      <formula>IF(AL8&gt;0,0,1)</formula>
    </cfRule>
  </conditionalFormatting>
  <conditionalFormatting sqref="E19:G19 E104:G104">
    <cfRule type="expression" dxfId="1909" priority="37" stopIfTrue="1">
      <formula>IF(AL8&gt;1,0,1)</formula>
    </cfRule>
  </conditionalFormatting>
  <conditionalFormatting sqref="H19:J19 H104:J104">
    <cfRule type="expression" dxfId="1908" priority="38" stopIfTrue="1">
      <formula>IF(AL8&gt;2,0,1)</formula>
    </cfRule>
  </conditionalFormatting>
  <conditionalFormatting sqref="L19:N19 L104:N104">
    <cfRule type="expression" dxfId="1907" priority="39" stopIfTrue="1">
      <formula>IF(AL8&gt;3,0,1)</formula>
    </cfRule>
  </conditionalFormatting>
  <conditionalFormatting sqref="O19:Q19 O104:Q104">
    <cfRule type="expression" dxfId="1906" priority="40" stopIfTrue="1">
      <formula>IF(AL8&gt;4,0,1)</formula>
    </cfRule>
  </conditionalFormatting>
  <conditionalFormatting sqref="R19:T19 R104:T104">
    <cfRule type="expression" dxfId="1905" priority="41" stopIfTrue="1">
      <formula>IF(AL8&gt;5,0,1)</formula>
    </cfRule>
  </conditionalFormatting>
  <conditionalFormatting sqref="U19:W19 U104:W104">
    <cfRule type="expression" dxfId="1904" priority="42" stopIfTrue="1">
      <formula>IF(AL8&gt;6,0,1)</formula>
    </cfRule>
  </conditionalFormatting>
  <conditionalFormatting sqref="X19:Z19 X104:Z104">
    <cfRule type="expression" dxfId="1903" priority="43" stopIfTrue="1">
      <formula>IF(AL8&gt;7,0,1)</formula>
    </cfRule>
  </conditionalFormatting>
  <conditionalFormatting sqref="AA19:AC19 AA104:AC104">
    <cfRule type="expression" dxfId="1902" priority="44" stopIfTrue="1">
      <formula>IF(AL8&gt;8,0,1)</formula>
    </cfRule>
  </conditionalFormatting>
  <conditionalFormatting sqref="AD19:AF19 AD104:AF104">
    <cfRule type="expression" dxfId="1901" priority="45" stopIfTrue="1">
      <formula>IF(AL8&gt;9,0,1)</formula>
    </cfRule>
  </conditionalFormatting>
  <conditionalFormatting sqref="B20:D20 B105:D105">
    <cfRule type="expression" dxfId="1900" priority="46" stopIfTrue="1">
      <formula>IF(AL8&gt;0,0,1)</formula>
    </cfRule>
  </conditionalFormatting>
  <conditionalFormatting sqref="E20:G20 E105:G105">
    <cfRule type="expression" dxfId="1899" priority="47" stopIfTrue="1">
      <formula>IF(AL8&gt;1,0,1)</formula>
    </cfRule>
  </conditionalFormatting>
  <conditionalFormatting sqref="H20:J20 H105:J105">
    <cfRule type="expression" dxfId="1898" priority="48" stopIfTrue="1">
      <formula>IF(AL8&gt;2,0,1)</formula>
    </cfRule>
  </conditionalFormatting>
  <conditionalFormatting sqref="L20:N20 L105:N105">
    <cfRule type="expression" dxfId="1897" priority="49" stopIfTrue="1">
      <formula>IF(AL8&gt;3,0,1)</formula>
    </cfRule>
  </conditionalFormatting>
  <conditionalFormatting sqref="O20:Q20 O105:Q105">
    <cfRule type="expression" dxfId="1896" priority="50" stopIfTrue="1">
      <formula>IF(AL8&gt;4,0,1)</formula>
    </cfRule>
  </conditionalFormatting>
  <conditionalFormatting sqref="R20:T20 R105:T105">
    <cfRule type="expression" dxfId="1895" priority="51" stopIfTrue="1">
      <formula>IF(AL8&gt;5,0,1)</formula>
    </cfRule>
  </conditionalFormatting>
  <conditionalFormatting sqref="U20:W20 U105:W105">
    <cfRule type="expression" dxfId="1894" priority="52" stopIfTrue="1">
      <formula>IF(AL8&gt;6,0,1)</formula>
    </cfRule>
  </conditionalFormatting>
  <conditionalFormatting sqref="X20:Z20 X105:Z105">
    <cfRule type="expression" dxfId="1893" priority="53" stopIfTrue="1">
      <formula>IF(AL8&gt;7,0,1)</formula>
    </cfRule>
  </conditionalFormatting>
  <conditionalFormatting sqref="AA20:AC20 AA105:AC105">
    <cfRule type="expression" dxfId="1892" priority="54" stopIfTrue="1">
      <formula>IF(AL8&gt;8,0,1)</formula>
    </cfRule>
  </conditionalFormatting>
  <conditionalFormatting sqref="AD20:AF20 AD105:AF105">
    <cfRule type="expression" dxfId="1891" priority="55" stopIfTrue="1">
      <formula>IF(AL8&gt;9,0,1)</formula>
    </cfRule>
  </conditionalFormatting>
  <conditionalFormatting sqref="E22:G22 E107:G107">
    <cfRule type="expression" dxfId="1890" priority="56" stopIfTrue="1">
      <formula>IF(AL8&gt;1,0,1)</formula>
    </cfRule>
  </conditionalFormatting>
  <conditionalFormatting sqref="H22:J22 H107:J107">
    <cfRule type="expression" dxfId="1889" priority="57" stopIfTrue="1">
      <formula>IF(AL8&gt;2,0,1)</formula>
    </cfRule>
  </conditionalFormatting>
  <conditionalFormatting sqref="L22:N22 L107:N107">
    <cfRule type="expression" dxfId="1888" priority="58" stopIfTrue="1">
      <formula>IF(AL8&gt;3,0,1)</formula>
    </cfRule>
  </conditionalFormatting>
  <conditionalFormatting sqref="O22:Q22 O107:Q107">
    <cfRule type="expression" dxfId="1887" priority="59" stopIfTrue="1">
      <formula>IF(AL8&gt;4,0,1)</formula>
    </cfRule>
  </conditionalFormatting>
  <conditionalFormatting sqref="R22:T22 R107:T107">
    <cfRule type="expression" dxfId="1886" priority="60" stopIfTrue="1">
      <formula>IF(AL8&gt;5,0,1)</formula>
    </cfRule>
  </conditionalFormatting>
  <conditionalFormatting sqref="U22:W22 U107:W107">
    <cfRule type="expression" dxfId="1885" priority="61" stopIfTrue="1">
      <formula>IF(AL8&gt;6,0,1)</formula>
    </cfRule>
  </conditionalFormatting>
  <conditionalFormatting sqref="X22:Z22 X107:Z107">
    <cfRule type="expression" dxfId="1884" priority="62" stopIfTrue="1">
      <formula>IF(AL8&gt;7,0,1)</formula>
    </cfRule>
  </conditionalFormatting>
  <conditionalFormatting sqref="AA22:AC22 AA107:AC107">
    <cfRule type="expression" dxfId="1883" priority="63" stopIfTrue="1">
      <formula>IF(AL8&gt;8,0,1)</formula>
    </cfRule>
  </conditionalFormatting>
  <conditionalFormatting sqref="AD22:AF22 AD107:AF107">
    <cfRule type="expression" dxfId="1882" priority="64" stopIfTrue="1">
      <formula>IF(AL8&gt;9,0,1)</formula>
    </cfRule>
  </conditionalFormatting>
  <conditionalFormatting sqref="B24 B109">
    <cfRule type="expression" dxfId="1881" priority="65" stopIfTrue="1">
      <formula>IF(AL8&gt;0,0,1)</formula>
    </cfRule>
  </conditionalFormatting>
  <conditionalFormatting sqref="C24 C109">
    <cfRule type="expression" dxfId="1880" priority="66" stopIfTrue="1">
      <formula>IF(AL8&gt;0,0,1)</formula>
    </cfRule>
  </conditionalFormatting>
  <conditionalFormatting sqref="D24 D109">
    <cfRule type="expression" dxfId="1879" priority="67" stopIfTrue="1">
      <formula>IF(AL8&gt;0,0,1)</formula>
    </cfRule>
  </conditionalFormatting>
  <conditionalFormatting sqref="E23:G23 E108:G108">
    <cfRule type="expression" dxfId="1878" priority="68" stopIfTrue="1">
      <formula>IF(AL8&gt;1,0,1)</formula>
    </cfRule>
  </conditionalFormatting>
  <conditionalFormatting sqref="F24 F109">
    <cfRule type="expression" dxfId="1877" priority="69" stopIfTrue="1">
      <formula>IF(AL8&gt;1,0,1)</formula>
    </cfRule>
  </conditionalFormatting>
  <conditionalFormatting sqref="G24 G109">
    <cfRule type="expression" dxfId="1876" priority="70" stopIfTrue="1">
      <formula>IF(AL8&gt;1,0,1)</formula>
    </cfRule>
  </conditionalFormatting>
  <conditionalFormatting sqref="H23:J23 H108:J108">
    <cfRule type="expression" dxfId="1875" priority="71" stopIfTrue="1">
      <formula>IF(AL8&gt;2,0,1)</formula>
    </cfRule>
  </conditionalFormatting>
  <conditionalFormatting sqref="I24 I109">
    <cfRule type="expression" dxfId="1874" priority="72" stopIfTrue="1">
      <formula>IF(AL8&gt;2,0,1)</formula>
    </cfRule>
  </conditionalFormatting>
  <conditionalFormatting sqref="J24 J109">
    <cfRule type="expression" dxfId="1873" priority="73" stopIfTrue="1">
      <formula>IF(AL8&gt;2,0,1)</formula>
    </cfRule>
  </conditionalFormatting>
  <conditionalFormatting sqref="L23:N23 L108:N108">
    <cfRule type="expression" dxfId="1872" priority="74" stopIfTrue="1">
      <formula>IF(AL8&gt;3,0,1)</formula>
    </cfRule>
  </conditionalFormatting>
  <conditionalFormatting sqref="M24 M109">
    <cfRule type="expression" dxfId="1871" priority="75" stopIfTrue="1">
      <formula>IF(AL8&gt;3,0,1)</formula>
    </cfRule>
  </conditionalFormatting>
  <conditionalFormatting sqref="N24 N109">
    <cfRule type="expression" dxfId="1870" priority="76" stopIfTrue="1">
      <formula>IF(AL8&gt;3,0,1)</formula>
    </cfRule>
  </conditionalFormatting>
  <conditionalFormatting sqref="O23:Q23 O108:Q108">
    <cfRule type="expression" dxfId="1869" priority="77" stopIfTrue="1">
      <formula>IF(AL8&gt;4,0,1)</formula>
    </cfRule>
  </conditionalFormatting>
  <conditionalFormatting sqref="P24 P109">
    <cfRule type="expression" dxfId="1868" priority="78" stopIfTrue="1">
      <formula>IF(AL8&gt;4,0,1)</formula>
    </cfRule>
  </conditionalFormatting>
  <conditionalFormatting sqref="Q24 Q109">
    <cfRule type="expression" dxfId="1867" priority="79" stopIfTrue="1">
      <formula>IF(AL8&gt;4,0,1)</formula>
    </cfRule>
  </conditionalFormatting>
  <conditionalFormatting sqref="R23:T23 R108:T108">
    <cfRule type="expression" dxfId="1866" priority="80" stopIfTrue="1">
      <formula>IF(AL8&gt;5,0,1)</formula>
    </cfRule>
  </conditionalFormatting>
  <conditionalFormatting sqref="S24 S109">
    <cfRule type="expression" dxfId="1865" priority="81" stopIfTrue="1">
      <formula>IF(AL8&gt;5,0,1)</formula>
    </cfRule>
  </conditionalFormatting>
  <conditionalFormatting sqref="T24 T109">
    <cfRule type="expression" dxfId="1864" priority="82" stopIfTrue="1">
      <formula>IF(AL8&gt;5,0,1)</formula>
    </cfRule>
  </conditionalFormatting>
  <conditionalFormatting sqref="U23:W23 U108:W108">
    <cfRule type="expression" dxfId="1863" priority="83" stopIfTrue="1">
      <formula>IF(AL8&gt;6,0,1)</formula>
    </cfRule>
  </conditionalFormatting>
  <conditionalFormatting sqref="V24 V109">
    <cfRule type="expression" dxfId="1862" priority="84" stopIfTrue="1">
      <formula>IF(AL8&gt;6,0,1)</formula>
    </cfRule>
  </conditionalFormatting>
  <conditionalFormatting sqref="W24 W109">
    <cfRule type="expression" dxfId="1861" priority="85" stopIfTrue="1">
      <formula>IF(AL8&gt;6,0,1)</formula>
    </cfRule>
  </conditionalFormatting>
  <conditionalFormatting sqref="X23:Z23 X108:Z108">
    <cfRule type="expression" dxfId="1860" priority="86" stopIfTrue="1">
      <formula>IF(AL8&gt;7,0,1)</formula>
    </cfRule>
  </conditionalFormatting>
  <conditionalFormatting sqref="Y24 Y109">
    <cfRule type="expression" dxfId="1859" priority="87" stopIfTrue="1">
      <formula>IF(AL8&gt;7,0,1)</formula>
    </cfRule>
  </conditionalFormatting>
  <conditionalFormatting sqref="Z24 Z109">
    <cfRule type="expression" dxfId="1858" priority="88" stopIfTrue="1">
      <formula>IF(AL8&gt;7,0,1)</formula>
    </cfRule>
  </conditionalFormatting>
  <conditionalFormatting sqref="AA23:AC23 AA108:AC108">
    <cfRule type="expression" dxfId="1857" priority="89" stopIfTrue="1">
      <formula>IF(AL8&gt;8,0,1)</formula>
    </cfRule>
  </conditionalFormatting>
  <conditionalFormatting sqref="AB24 AB109">
    <cfRule type="expression" dxfId="1856" priority="90" stopIfTrue="1">
      <formula>IF(AL8&gt;8,0,1)</formula>
    </cfRule>
  </conditionalFormatting>
  <conditionalFormatting sqref="AC24 AC109">
    <cfRule type="expression" dxfId="1855" priority="91" stopIfTrue="1">
      <formula>IF(AL8&gt;8,0,1)</formula>
    </cfRule>
  </conditionalFormatting>
  <conditionalFormatting sqref="AD23:AF23 AD108:AF108">
    <cfRule type="expression" dxfId="1854" priority="92" stopIfTrue="1">
      <formula>IF(AL8&gt;9,0,1)</formula>
    </cfRule>
  </conditionalFormatting>
  <conditionalFormatting sqref="AE24 AE109">
    <cfRule type="expression" dxfId="1853" priority="93" stopIfTrue="1">
      <formula>IF(AL8&gt;9,0,1)</formula>
    </cfRule>
  </conditionalFormatting>
  <conditionalFormatting sqref="AF24 AF109">
    <cfRule type="expression" dxfId="1852" priority="94" stopIfTrue="1">
      <formula>IF(AL8&gt;9,0,1)</formula>
    </cfRule>
  </conditionalFormatting>
  <conditionalFormatting sqref="A26 A111">
    <cfRule type="expression" dxfId="1851" priority="95" stopIfTrue="1">
      <formula>IF(AL7&gt;1,0,1)</formula>
    </cfRule>
  </conditionalFormatting>
  <conditionalFormatting sqref="A27 A112">
    <cfRule type="expression" dxfId="1850" priority="96" stopIfTrue="1">
      <formula>IF(AL7&gt;2,0,1)</formula>
    </cfRule>
  </conditionalFormatting>
  <conditionalFormatting sqref="A28 A113">
    <cfRule type="expression" dxfId="1849" priority="97" stopIfTrue="1">
      <formula>IF(AL7&gt;3,0,1)</formula>
    </cfRule>
  </conditionalFormatting>
  <conditionalFormatting sqref="A29 A114">
    <cfRule type="expression" dxfId="1848" priority="98" stopIfTrue="1">
      <formula>IF(AL7&gt;4,0,1)</formula>
    </cfRule>
  </conditionalFormatting>
  <conditionalFormatting sqref="B25:D25 B110:D110">
    <cfRule type="expression" dxfId="1847" priority="99" stopIfTrue="1">
      <formula>IF($AL8&gt;0,0,1)</formula>
    </cfRule>
  </conditionalFormatting>
  <conditionalFormatting sqref="B26:D26 B111:D111">
    <cfRule type="expression" dxfId="1846" priority="100" stopIfTrue="1">
      <formula>IF($AL8&lt;1,1,IF($AL7&lt;2,1,0))</formula>
    </cfRule>
  </conditionalFormatting>
  <conditionalFormatting sqref="B27:D27 B112:D112">
    <cfRule type="expression" dxfId="1845" priority="101" stopIfTrue="1">
      <formula>IF($AL8&lt;1,1,IF($AL7&lt;3,1,0))</formula>
    </cfRule>
  </conditionalFormatting>
  <conditionalFormatting sqref="B28:D28 B113:D113">
    <cfRule type="expression" dxfId="1844" priority="102" stopIfTrue="1">
      <formula>IF($AL8&lt;1,1,IF($AL7&lt;4,1,0))</formula>
    </cfRule>
  </conditionalFormatting>
  <conditionalFormatting sqref="B29:D29 B114:D114">
    <cfRule type="expression" dxfId="1843" priority="103" stopIfTrue="1">
      <formula>IF($AL8&lt;1,1,IF($AL7&lt;5,1,0))</formula>
    </cfRule>
  </conditionalFormatting>
  <conditionalFormatting sqref="AG26 AG111">
    <cfRule type="expression" dxfId="1842" priority="104" stopIfTrue="1">
      <formula>IF($AL9&gt;2,0,1)</formula>
    </cfRule>
  </conditionalFormatting>
  <conditionalFormatting sqref="AG25 AG110">
    <cfRule type="expression" dxfId="1841" priority="105" stopIfTrue="1">
      <formula>IF($AL9&gt;1,0,1)</formula>
    </cfRule>
  </conditionalFormatting>
  <conditionalFormatting sqref="AG24 AG109">
    <cfRule type="expression" dxfId="1840" priority="106" stopIfTrue="1">
      <formula>IF($AL9&gt;0,0,1)</formula>
    </cfRule>
  </conditionalFormatting>
  <conditionalFormatting sqref="AG27 AG112">
    <cfRule type="expression" dxfId="1839" priority="107" stopIfTrue="1">
      <formula>IF($AL9&gt;3,0,1)</formula>
    </cfRule>
  </conditionalFormatting>
  <conditionalFormatting sqref="AG28 AG113">
    <cfRule type="expression" dxfId="1838" priority="108" stopIfTrue="1">
      <formula>IF($AL9&gt;4,0,1)</formula>
    </cfRule>
  </conditionalFormatting>
  <conditionalFormatting sqref="AH23 AH108">
    <cfRule type="expression" dxfId="1837" priority="109" stopIfTrue="1">
      <formula>IF($AL8&lt;1,1,0)</formula>
    </cfRule>
  </conditionalFormatting>
  <conditionalFormatting sqref="AI23 AI108">
    <cfRule type="expression" dxfId="1836" priority="110" stopIfTrue="1">
      <formula>IF($AL8&lt;2,1,0)</formula>
    </cfRule>
  </conditionalFormatting>
  <conditionalFormatting sqref="AJ23 AJ108">
    <cfRule type="expression" dxfId="1835" priority="111" stopIfTrue="1">
      <formula>IF($AL8&lt;3,1,0)</formula>
    </cfRule>
  </conditionalFormatting>
  <conditionalFormatting sqref="AK23 AK108">
    <cfRule type="expression" dxfId="1834" priority="112" stopIfTrue="1">
      <formula>IF($AL8&lt;4,1,0)</formula>
    </cfRule>
  </conditionalFormatting>
  <conditionalFormatting sqref="AL23 AL108">
    <cfRule type="expression" dxfId="1833" priority="113" stopIfTrue="1">
      <formula>IF($AL8&lt;5,1,0)</formula>
    </cfRule>
  </conditionalFormatting>
  <conditionalFormatting sqref="AM23 AM108">
    <cfRule type="expression" dxfId="1832" priority="114" stopIfTrue="1">
      <formula>IF($AL8&lt;6,1,0)</formula>
    </cfRule>
  </conditionalFormatting>
  <conditionalFormatting sqref="AN23 AN108">
    <cfRule type="expression" dxfId="1831" priority="115" stopIfTrue="1">
      <formula>IF($AL8&lt;7,1,0)</formula>
    </cfRule>
  </conditionalFormatting>
  <conditionalFormatting sqref="AO23 AO108">
    <cfRule type="expression" dxfId="1830" priority="116" stopIfTrue="1">
      <formula>IF($AL8&lt;8,1,0)</formula>
    </cfRule>
  </conditionalFormatting>
  <conditionalFormatting sqref="AP23 AP108">
    <cfRule type="expression" dxfId="1829" priority="117" stopIfTrue="1">
      <formula>IF($AL8&lt;9,1,0)</formula>
    </cfRule>
  </conditionalFormatting>
  <conditionalFormatting sqref="AQ23 AQ108">
    <cfRule type="expression" dxfId="1828" priority="118" stopIfTrue="1">
      <formula>IF($AL8&lt;10,1,0)</formula>
    </cfRule>
  </conditionalFormatting>
  <conditionalFormatting sqref="AR24 AR109">
    <cfRule type="expression" dxfId="1827" priority="119" stopIfTrue="1">
      <formula>IF($AL9&gt;0,0,1)</formula>
    </cfRule>
  </conditionalFormatting>
  <conditionalFormatting sqref="AR25 AR110">
    <cfRule type="expression" dxfId="1826" priority="120" stopIfTrue="1">
      <formula>IF($AL9&gt;1,0,1)</formula>
    </cfRule>
  </conditionalFormatting>
  <conditionalFormatting sqref="AR26 H25:J25 AR111 H110:J110">
    <cfRule type="expression" dxfId="1825" priority="121" stopIfTrue="1">
      <formula>IF($AL8&gt;2,0,1)</formula>
    </cfRule>
  </conditionalFormatting>
  <conditionalFormatting sqref="L25:N25 L110:N110">
    <cfRule type="expression" dxfId="1824" priority="122" stopIfTrue="1">
      <formula>IF($AL8&gt;3,0,1)</formula>
    </cfRule>
  </conditionalFormatting>
  <conditionalFormatting sqref="AR28 AR113">
    <cfRule type="expression" dxfId="1823" priority="123" stopIfTrue="1">
      <formula>IF($AL9&gt;4,0,1)</formula>
    </cfRule>
  </conditionalFormatting>
  <conditionalFormatting sqref="E26:G26 E111:G111">
    <cfRule type="expression" dxfId="1822" priority="124" stopIfTrue="1">
      <formula>IF($AL8&lt;2,1,IF($AL7&lt;2,1,0))</formula>
    </cfRule>
  </conditionalFormatting>
  <conditionalFormatting sqref="E27:G27 E112:G112">
    <cfRule type="expression" dxfId="1821" priority="125" stopIfTrue="1">
      <formula>IF($AL8&lt;2,1,IF($AL7&lt;3,1,0))</formula>
    </cfRule>
  </conditionalFormatting>
  <conditionalFormatting sqref="E28:G28 E113:G113">
    <cfRule type="expression" dxfId="1820" priority="126" stopIfTrue="1">
      <formula>IF($AL8&lt;2,1,IF($AL7&lt;4,1,0))</formula>
    </cfRule>
  </conditionalFormatting>
  <conditionalFormatting sqref="E29:G29 E114:G114">
    <cfRule type="expression" dxfId="1819" priority="127" stopIfTrue="1">
      <formula>IF($AL8&lt;2,1,IF($AL7&lt;5,1,0))</formula>
    </cfRule>
  </conditionalFormatting>
  <conditionalFormatting sqref="O25:Q25 O110:Q110">
    <cfRule type="expression" dxfId="1818" priority="128" stopIfTrue="1">
      <formula>IF($AL8&gt;4,0,1)</formula>
    </cfRule>
  </conditionalFormatting>
  <conditionalFormatting sqref="R25:T25 R110:T110">
    <cfRule type="expression" dxfId="1817" priority="129" stopIfTrue="1">
      <formula>IF($AL8&gt;5,0,1)</formula>
    </cfRule>
  </conditionalFormatting>
  <conditionalFormatting sqref="U25:W25 U110:W110">
    <cfRule type="expression" dxfId="1816" priority="130" stopIfTrue="1">
      <formula>IF($AL8&gt;6,0,1)</formula>
    </cfRule>
  </conditionalFormatting>
  <conditionalFormatting sqref="X25:Z25 X110:Z110">
    <cfRule type="expression" dxfId="1815" priority="131" stopIfTrue="1">
      <formula>IF($AL8&gt;7,0,1)</formula>
    </cfRule>
  </conditionalFormatting>
  <conditionalFormatting sqref="AA25:AC25 AA110:AC110">
    <cfRule type="expression" dxfId="1814" priority="132" stopIfTrue="1">
      <formula>IF($AL8&gt;8,0,1)</formula>
    </cfRule>
  </conditionalFormatting>
  <conditionalFormatting sqref="AD25:AF25 AD110:AF110">
    <cfRule type="expression" dxfId="1813" priority="133" stopIfTrue="1">
      <formula>IF($AL8&gt;9,0,1)</formula>
    </cfRule>
  </conditionalFormatting>
  <conditionalFormatting sqref="H26:J26 H111:J111">
    <cfRule type="expression" dxfId="1812" priority="134" stopIfTrue="1">
      <formula>IF($AL8&lt;3,1,IF($AL7&lt;2,1,0))</formula>
    </cfRule>
  </conditionalFormatting>
  <conditionalFormatting sqref="L26:N26 L111:N111">
    <cfRule type="expression" dxfId="1811" priority="135" stopIfTrue="1">
      <formula>IF($AL8&lt;4,1,IF($AL7&lt;2,1,0))</formula>
    </cfRule>
  </conditionalFormatting>
  <conditionalFormatting sqref="O26:Q26 O111:Q111">
    <cfRule type="expression" dxfId="1810" priority="136" stopIfTrue="1">
      <formula>IF($AL8&lt;5,1,IF($AL7&lt;2,1,0))</formula>
    </cfRule>
  </conditionalFormatting>
  <conditionalFormatting sqref="R26:T26 R111:T111">
    <cfRule type="expression" dxfId="1809" priority="137" stopIfTrue="1">
      <formula>IF($AL8&lt;6,1,IF($AL7&lt;2,1,0))</formula>
    </cfRule>
  </conditionalFormatting>
  <conditionalFormatting sqref="U26:W26 U111:W111">
    <cfRule type="expression" dxfId="1808" priority="138" stopIfTrue="1">
      <formula>IF($AL8&lt;7,1,IF($AL7&lt;2,1,0))</formula>
    </cfRule>
  </conditionalFormatting>
  <conditionalFormatting sqref="X26:Z26 X111:Z111">
    <cfRule type="expression" dxfId="1807" priority="139" stopIfTrue="1">
      <formula>IF($AL8&lt;8,1,IF($AL7&lt;2,1,0))</formula>
    </cfRule>
  </conditionalFormatting>
  <conditionalFormatting sqref="AA26:AC26 AA111:AC111">
    <cfRule type="expression" dxfId="1806" priority="140" stopIfTrue="1">
      <formula>IF($AL8&lt;9,1,IF($AL7&lt;2,1,0))</formula>
    </cfRule>
  </conditionalFormatting>
  <conditionalFormatting sqref="AD26:AF26 AD111:AF111">
    <cfRule type="expression" dxfId="1805" priority="141" stopIfTrue="1">
      <formula>IF($AL8&lt;10,1,IF($AL7&lt;2,1,0))</formula>
    </cfRule>
  </conditionalFormatting>
  <conditionalFormatting sqref="H27:J27 H112:J112">
    <cfRule type="expression" dxfId="1804" priority="142" stopIfTrue="1">
      <formula>IF($AL8&lt;3,1,IF($AL7&lt;3,1,0))</formula>
    </cfRule>
  </conditionalFormatting>
  <conditionalFormatting sqref="L27:N27 L112:N112">
    <cfRule type="expression" dxfId="1803" priority="143" stopIfTrue="1">
      <formula>IF($AL8&lt;4,1,IF($AL7&lt;3,1,0))</formula>
    </cfRule>
  </conditionalFormatting>
  <conditionalFormatting sqref="O27:Q27 O112:Q112">
    <cfRule type="expression" dxfId="1802" priority="144" stopIfTrue="1">
      <formula>IF($AL8&lt;5,1,IF($AL7&lt;3,1,0))</formula>
    </cfRule>
  </conditionalFormatting>
  <conditionalFormatting sqref="R27:T27 R112:T112">
    <cfRule type="expression" dxfId="1801" priority="145" stopIfTrue="1">
      <formula>IF($AL8&lt;6,1,IF($AL7&lt;3,1,0))</formula>
    </cfRule>
  </conditionalFormatting>
  <conditionalFormatting sqref="U27:W27 U112:W112">
    <cfRule type="expression" dxfId="1800" priority="146" stopIfTrue="1">
      <formula>IF($AL8&lt;7,1,IF($AL7&lt;3,1,0))</formula>
    </cfRule>
  </conditionalFormatting>
  <conditionalFormatting sqref="X27:Z27 X112:Z112">
    <cfRule type="expression" dxfId="1799" priority="147" stopIfTrue="1">
      <formula>IF($AL8&lt;8,1,IF($AL7&lt;3,1,0))</formula>
    </cfRule>
  </conditionalFormatting>
  <conditionalFormatting sqref="AA27:AC27 AA112:AC112">
    <cfRule type="expression" dxfId="1798" priority="148" stopIfTrue="1">
      <formula>IF($AL8&lt;9,1,IF($AL7&lt;3,1,0))</formula>
    </cfRule>
  </conditionalFormatting>
  <conditionalFormatting sqref="AD27:AF27 AD112:AF112">
    <cfRule type="expression" dxfId="1797" priority="149" stopIfTrue="1">
      <formula>IF($AL8&lt;10,1,IF($AL7&lt;3,1,0))</formula>
    </cfRule>
  </conditionalFormatting>
  <conditionalFormatting sqref="H28:J28 H113:J113">
    <cfRule type="expression" dxfId="1796" priority="150" stopIfTrue="1">
      <formula>IF($AL8&lt;3,1,IF($AL7&lt;4,1,0))</formula>
    </cfRule>
  </conditionalFormatting>
  <conditionalFormatting sqref="L28:N28 L113:N113">
    <cfRule type="expression" dxfId="1795" priority="151" stopIfTrue="1">
      <formula>IF($AL8&lt;4,1,IF($AL7&lt;4,1,0))</formula>
    </cfRule>
  </conditionalFormatting>
  <conditionalFormatting sqref="O28:Q28 O113:Q113">
    <cfRule type="expression" dxfId="1794" priority="152" stopIfTrue="1">
      <formula>IF($AL8&lt;5,1,IF($AL7&lt;4,1,0))</formula>
    </cfRule>
  </conditionalFormatting>
  <conditionalFormatting sqref="R28:T28 R113:T113">
    <cfRule type="expression" dxfId="1793" priority="153" stopIfTrue="1">
      <formula>IF($AL8&lt;6,1,IF($AL7&lt;4,1,0))</formula>
    </cfRule>
  </conditionalFormatting>
  <conditionalFormatting sqref="U28:W28 U113:W113">
    <cfRule type="expression" dxfId="1792" priority="154" stopIfTrue="1">
      <formula>IF($AL8&lt;7,1,IF($AL7&lt;4,1,0))</formula>
    </cfRule>
  </conditionalFormatting>
  <conditionalFormatting sqref="X28:Z28 X113:Z113">
    <cfRule type="expression" dxfId="1791" priority="155" stopIfTrue="1">
      <formula>IF($AL8&lt;8,1,IF($AL7&lt;4,1,0))</formula>
    </cfRule>
  </conditionalFormatting>
  <conditionalFormatting sqref="AA28:AC28 AA113:AC113">
    <cfRule type="expression" dxfId="1790" priority="156" stopIfTrue="1">
      <formula>IF($AL8&lt;9,1,IF($AL7&lt;4,1,0))</formula>
    </cfRule>
  </conditionalFormatting>
  <conditionalFormatting sqref="AD28:AF28 AD113:AF113">
    <cfRule type="expression" dxfId="1789" priority="157" stopIfTrue="1">
      <formula>IF($AL8&lt;10,1,IF($AL7&lt;4,1,0))</formula>
    </cfRule>
  </conditionalFormatting>
  <conditionalFormatting sqref="H29:J29 H114:J114">
    <cfRule type="expression" dxfId="1788" priority="158" stopIfTrue="1">
      <formula>IF($AL8&lt;3,1,IF($AL7&lt;5,1,0))</formula>
    </cfRule>
  </conditionalFormatting>
  <conditionalFormatting sqref="L29:N29 L114:N114">
    <cfRule type="expression" dxfId="1787" priority="159" stopIfTrue="1">
      <formula>IF($AL8&lt;4,1,IF($AL7&lt;5,1,0))</formula>
    </cfRule>
  </conditionalFormatting>
  <conditionalFormatting sqref="O29:Q29 O114:Q114">
    <cfRule type="expression" dxfId="1786" priority="160" stopIfTrue="1">
      <formula>IF($AL8&lt;5,1,IF($AL7&lt;5,1,0))</formula>
    </cfRule>
  </conditionalFormatting>
  <conditionalFormatting sqref="R29:T29 R114:T114">
    <cfRule type="expression" dxfId="1785" priority="161" stopIfTrue="1">
      <formula>IF($AL8&lt;6,1,IF($AL7&lt;5,1,0))</formula>
    </cfRule>
  </conditionalFormatting>
  <conditionalFormatting sqref="U29:W29 U114:W114">
    <cfRule type="expression" dxfId="1784" priority="162" stopIfTrue="1">
      <formula>IF($AL8&lt;7,1,IF($AL7&lt;5,1,0))</formula>
    </cfRule>
  </conditionalFormatting>
  <conditionalFormatting sqref="X29:Z29 X114:Z114">
    <cfRule type="expression" dxfId="1783" priority="163" stopIfTrue="1">
      <formula>IF($AL8&lt;8,1,IF($AL7&lt;5,1,0))</formula>
    </cfRule>
  </conditionalFormatting>
  <conditionalFormatting sqref="AA29:AC29 AA114:AC114">
    <cfRule type="expression" dxfId="1782" priority="164" stopIfTrue="1">
      <formula>IF($AL8&lt;9,1,IF($AL7&lt;5,1,0))</formula>
    </cfRule>
  </conditionalFormatting>
  <conditionalFormatting sqref="AD29:AF29 AD114:AF114">
    <cfRule type="expression" dxfId="1781" priority="165" stopIfTrue="1">
      <formula>IF($AL8&lt;10,1,IF($AL7&lt;5,1,0))</formula>
    </cfRule>
  </conditionalFormatting>
  <conditionalFormatting sqref="S14:AC15 M14:Q15 S99:AC100 M99:Q100 AG99:AH100 AG14:AH15">
    <cfRule type="expression" dxfId="1780" priority="166" stopIfTrue="1">
      <formula>IF($AL9&gt;3,0,1)</formula>
    </cfRule>
  </conditionalFormatting>
  <conditionalFormatting sqref="S16:AC17 M16:Q17 S101:AC102 M101:Q102 AG101:AH102 AG16:AH17">
    <cfRule type="expression" dxfId="1779" priority="167" stopIfTrue="1">
      <formula>IF($AL9&gt;4,0,1)</formula>
    </cfRule>
  </conditionalFormatting>
  <conditionalFormatting sqref="S8:AC9 M8:Q9 S93:AC94 M93:Q94 AG93:AH94 AG8:AH9">
    <cfRule type="expression" dxfId="1778" priority="168" stopIfTrue="1">
      <formula>IF($AL9&gt;0,0,1)</formula>
    </cfRule>
  </conditionalFormatting>
  <conditionalFormatting sqref="S10:AC11 M10:Q11 S95:AC96 M95:Q96 AG95:AH96 AG10:AH11">
    <cfRule type="expression" dxfId="1777" priority="169" stopIfTrue="1">
      <formula>IF($AL9&gt;1,0,1)</formula>
    </cfRule>
  </conditionalFormatting>
  <conditionalFormatting sqref="S12:AC13 M12:Q13 S97:AC98 M97:Q98 AG97:AH98 AG12:AH13">
    <cfRule type="expression" dxfId="1776" priority="170" stopIfTrue="1">
      <formula>IF($AL9&gt;2,0,1)</formula>
    </cfRule>
  </conditionalFormatting>
  <conditionalFormatting sqref="E24 E109">
    <cfRule type="expression" dxfId="1775" priority="171" stopIfTrue="1">
      <formula>IF(AL8&gt;1,0,1)</formula>
    </cfRule>
  </conditionalFormatting>
  <conditionalFormatting sqref="H24 H109">
    <cfRule type="expression" dxfId="1774" priority="172" stopIfTrue="1">
      <formula>IF(AL8&gt;2,0,1)</formula>
    </cfRule>
  </conditionalFormatting>
  <conditionalFormatting sqref="L24 L109">
    <cfRule type="expression" dxfId="1773" priority="173" stopIfTrue="1">
      <formula>IF(AL8&gt;3,0,1)</formula>
    </cfRule>
  </conditionalFormatting>
  <conditionalFormatting sqref="O24 O109">
    <cfRule type="expression" dxfId="1772" priority="174" stopIfTrue="1">
      <formula>IF(AL8&gt;4,0,1)</formula>
    </cfRule>
  </conditionalFormatting>
  <conditionalFormatting sqref="R24 R109">
    <cfRule type="expression" dxfId="1771" priority="175" stopIfTrue="1">
      <formula>IF(AL8&gt;5,0,1)</formula>
    </cfRule>
  </conditionalFormatting>
  <conditionalFormatting sqref="U24 U109">
    <cfRule type="expression" dxfId="1770" priority="176" stopIfTrue="1">
      <formula>IF(AL8&gt;6,0,1)</formula>
    </cfRule>
  </conditionalFormatting>
  <conditionalFormatting sqref="X24 X109">
    <cfRule type="expression" dxfId="1769" priority="177" stopIfTrue="1">
      <formula>IF(AL8&gt;7,0,1)</formula>
    </cfRule>
  </conditionalFormatting>
  <conditionalFormatting sqref="AA24 AA109">
    <cfRule type="expression" dxfId="1768" priority="178" stopIfTrue="1">
      <formula>IF(AL8&gt;8,0,1)</formula>
    </cfRule>
  </conditionalFormatting>
  <conditionalFormatting sqref="AD24 AD109">
    <cfRule type="expression" dxfId="1767" priority="179" stopIfTrue="1">
      <formula>IF(AL8&gt;9,0,1)</formula>
    </cfRule>
  </conditionalFormatting>
  <conditionalFormatting sqref="AR27 AR112">
    <cfRule type="expression" dxfId="1766" priority="180" stopIfTrue="1">
      <formula>IF($AL9&gt;3,0,1)</formula>
    </cfRule>
  </conditionalFormatting>
  <conditionalFormatting sqref="E25:G25 E110:G110">
    <cfRule type="expression" dxfId="1765" priority="181" stopIfTrue="1">
      <formula>IF($AL8&gt;1,0,1)</formula>
    </cfRule>
  </conditionalFormatting>
  <conditionalFormatting sqref="B21:D21 B106:D106">
    <cfRule type="expression" dxfId="1764" priority="182" stopIfTrue="1">
      <formula>IF(AL8&gt;0,0,1)</formula>
    </cfRule>
  </conditionalFormatting>
  <conditionalFormatting sqref="E21:G21 E106:G106">
    <cfRule type="expression" dxfId="1763" priority="183" stopIfTrue="1">
      <formula>IF(AL8&gt;1,0,1)</formula>
    </cfRule>
  </conditionalFormatting>
  <conditionalFormatting sqref="H21:K21 H106:K106">
    <cfRule type="expression" dxfId="1762" priority="184" stopIfTrue="1">
      <formula>IF(AL8&gt;2,0,1)</formula>
    </cfRule>
  </conditionalFormatting>
  <conditionalFormatting sqref="L21:N21 L106:N106">
    <cfRule type="expression" dxfId="1761" priority="185" stopIfTrue="1">
      <formula>IF(AL8&gt;3,0,1)</formula>
    </cfRule>
  </conditionalFormatting>
  <conditionalFormatting sqref="O21:Q21 O106:Q106">
    <cfRule type="expression" dxfId="1760" priority="186" stopIfTrue="1">
      <formula>IF(AL8&gt;4,0,1)</formula>
    </cfRule>
  </conditionalFormatting>
  <conditionalFormatting sqref="R21:T21 R106:T106">
    <cfRule type="expression" dxfId="1759" priority="187" stopIfTrue="1">
      <formula>IF(AL8&gt;5,0,1)</formula>
    </cfRule>
  </conditionalFormatting>
  <conditionalFormatting sqref="U21:W21 U106:W106">
    <cfRule type="expression" dxfId="1758" priority="188" stopIfTrue="1">
      <formula>IF(AL8&gt;6,0,1)</formula>
    </cfRule>
  </conditionalFormatting>
  <conditionalFormatting sqref="X21:Z21 X106:Z106">
    <cfRule type="expression" dxfId="1757" priority="189" stopIfTrue="1">
      <formula>IF(AL8&gt;7,0,1)</formula>
    </cfRule>
  </conditionalFormatting>
  <conditionalFormatting sqref="AA21:AC21 AA106:AC106">
    <cfRule type="expression" dxfId="1756" priority="190" stopIfTrue="1">
      <formula>IF(AL8&gt;8,0,1)</formula>
    </cfRule>
  </conditionalFormatting>
  <conditionalFormatting sqref="AD21:AF21 AD106:AF106">
    <cfRule type="expression" dxfId="1755" priority="191" stopIfTrue="1">
      <formula>IF(AL8&gt;9,0,1)</formula>
    </cfRule>
  </conditionalFormatting>
  <conditionalFormatting sqref="B215:B216 C215:D215 B218:D223 C224:C225 AE223:AE225 E219:J222 Y224:Y225 X215:X216 Y215:Z215 X218:Z223 AA219:AF222 AB223:AB225 I223:I225 F223:F225">
    <cfRule type="expression" dxfId="1754" priority="192" stopIfTrue="1">
      <formula>IF(#REF!&gt;0,0,1)</formula>
    </cfRule>
  </conditionalFormatting>
  <conditionalFormatting sqref="H223 H215:H218 I215:K215 I218:J218 J223 AD215:AD218 AE215:AF215 AF223 AE218:AF218 AD223">
    <cfRule type="expression" dxfId="1753" priority="193" stopIfTrue="1">
      <formula>IF(#REF!&gt;2,0,1)</formula>
    </cfRule>
  </conditionalFormatting>
  <conditionalFormatting sqref="H224 J224 AD224 AF224">
    <cfRule type="expression" dxfId="1752" priority="194" stopIfTrue="1">
      <formula>IF(#REF!&lt;3,1,IF(#REF!&lt;2,1,0))</formula>
    </cfRule>
  </conditionalFormatting>
  <conditionalFormatting sqref="J225 AD225 AF225 H225">
    <cfRule type="expression" dxfId="1751" priority="195" stopIfTrue="1">
      <formula>IF(#REF!&lt;3,1,IF(#REF!&lt;3,1,0))</formula>
    </cfRule>
  </conditionalFormatting>
  <conditionalFormatting sqref="G223 F218:G218 E223 E215:E218 AB215:AC215 AC223 AB218:AC218 AA223 AA215:AA218 F215:G215">
    <cfRule type="expression" dxfId="1750" priority="196" stopIfTrue="1">
      <formula>IF(#REF!&gt;1,0,1)</formula>
    </cfRule>
  </conditionalFormatting>
  <conditionalFormatting sqref="B224 D224 X224 Z224">
    <cfRule type="expression" dxfId="1749" priority="197" stopIfTrue="1">
      <formula>IF(#REF!&lt;1,1,IF(#REF!&lt;2,1,0))</formula>
    </cfRule>
  </conditionalFormatting>
  <conditionalFormatting sqref="E224 G224 AA224 AC224">
    <cfRule type="expression" dxfId="1748" priority="198" stopIfTrue="1">
      <formula>IF(#REF!&lt;2,1,IF(#REF!&lt;2,1,0))</formula>
    </cfRule>
  </conditionalFormatting>
  <conditionalFormatting sqref="D225 X225 Z225 B225">
    <cfRule type="expression" dxfId="1747" priority="199" stopIfTrue="1">
      <formula>IF(#REF!&lt;1,1,IF(#REF!&lt;3,1,0))</formula>
    </cfRule>
  </conditionalFormatting>
  <conditionalFormatting sqref="G225 AA225 AC225 E225">
    <cfRule type="expression" dxfId="1746" priority="200" stopIfTrue="1">
      <formula>IF(#REF!&lt;2,1,IF(#REF!&lt;3,1,0))</formula>
    </cfRule>
  </conditionalFormatting>
  <conditionalFormatting sqref="AH24:AQ28 AH109:AQ113">
    <cfRule type="cellIs" dxfId="1745" priority="201" stopIfTrue="1" operator="notBetween">
      <formula>-9999</formula>
      <formula>9999</formula>
    </cfRule>
  </conditionalFormatting>
  <conditionalFormatting sqref="B22:D23 B107:D108">
    <cfRule type="cellIs" dxfId="1744" priority="202" stopIfTrue="1" operator="equal">
      <formula>99</formula>
    </cfRule>
  </conditionalFormatting>
  <conditionalFormatting sqref="AD7 AD92">
    <cfRule type="expression" dxfId="1743" priority="203" stopIfTrue="1">
      <formula>IF($AL$11=0,1,0)</formula>
    </cfRule>
  </conditionalFormatting>
  <conditionalFormatting sqref="B18 B103">
    <cfRule type="expression" dxfId="1742" priority="204" stopIfTrue="1">
      <formula>IF($AL$179&gt;0,0,1)</formula>
    </cfRule>
  </conditionalFormatting>
  <conditionalFormatting sqref="C226 F226 Y226 AB226">
    <cfRule type="expression" dxfId="1741" priority="205" stopIfTrue="1">
      <formula>IF(#REF!&gt;0,0,1)</formula>
    </cfRule>
  </conditionalFormatting>
  <pageMargins left="0.25" right="0.25" top="0.25" bottom="0.25" header="0" footer="0"/>
  <pageSetup scale="78" fitToHeight="3" orientation="landscape" r:id="rId1"/>
  <headerFooter alignWithMargins="0"/>
  <rowBreaks count="1" manualBreakCount="1">
    <brk id="90" max="43" man="1"/>
  </rowBreaks>
  <drawing r:id="rId2"/>
  <legacyDrawing r:id="rId3"/>
  <controls>
    <mc:AlternateContent xmlns:mc="http://schemas.openxmlformats.org/markup-compatibility/2006">
      <mc:Choice Requires="x14">
        <control shapeId="2050" r:id="rId4" name="Pool2RecalcFinish">
          <controlPr defaultSize="0" autoLine="0" r:id="rId5">
            <anchor moveWithCells="1" sizeWithCells="1">
              <from>
                <xdr:col>37</xdr:col>
                <xdr:colOff>106680</xdr:colOff>
                <xdr:row>98</xdr:row>
                <xdr:rowOff>7620</xdr:rowOff>
              </from>
              <to>
                <xdr:col>42</xdr:col>
                <xdr:colOff>228600</xdr:colOff>
                <xdr:row>101</xdr:row>
                <xdr:rowOff>106680</xdr:rowOff>
              </to>
            </anchor>
          </controlPr>
        </control>
      </mc:Choice>
      <mc:Fallback>
        <control shapeId="2050" r:id="rId4" name="Pool2RecalcFinish"/>
      </mc:Fallback>
    </mc:AlternateContent>
    <mc:AlternateContent xmlns:mc="http://schemas.openxmlformats.org/markup-compatibility/2006">
      <mc:Choice Requires="x14">
        <control shapeId="2049" r:id="rId6" name="Pool1RecalcFinish">
          <controlPr defaultSize="0" autoLine="0" r:id="rId7">
            <anchor moveWithCells="1" sizeWithCells="1">
              <from>
                <xdr:col>37</xdr:col>
                <xdr:colOff>106680</xdr:colOff>
                <xdr:row>13</xdr:row>
                <xdr:rowOff>7620</xdr:rowOff>
              </from>
              <to>
                <xdr:col>42</xdr:col>
                <xdr:colOff>228600</xdr:colOff>
                <xdr:row>16</xdr:row>
                <xdr:rowOff>106680</xdr:rowOff>
              </to>
            </anchor>
          </controlPr>
        </control>
      </mc:Choice>
      <mc:Fallback>
        <control shapeId="2049" r:id="rId6" name="Pool1RecalcFinish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indexed="11"/>
  </sheetPr>
  <dimension ref="A1:CC430"/>
  <sheetViews>
    <sheetView topLeftCell="AH1" zoomScale="85" zoomScaleNormal="85" workbookViewId="0">
      <selection activeCell="BA1" sqref="BA1"/>
    </sheetView>
  </sheetViews>
  <sheetFormatPr defaultRowHeight="13.2" x14ac:dyDescent="0.25"/>
  <cols>
    <col min="2" max="2" width="3.6640625" customWidth="1"/>
    <col min="3" max="3" width="2.33203125" customWidth="1"/>
    <col min="4" max="5" width="3.6640625" customWidth="1"/>
    <col min="6" max="6" width="2.33203125" customWidth="1"/>
    <col min="7" max="8" width="3.6640625" customWidth="1"/>
    <col min="9" max="9" width="2.33203125" customWidth="1"/>
    <col min="10" max="12" width="3.6640625" customWidth="1"/>
    <col min="13" max="13" width="2.33203125" customWidth="1"/>
    <col min="14" max="15" width="3.6640625" customWidth="1"/>
    <col min="16" max="16" width="2.33203125" customWidth="1"/>
    <col min="17" max="18" width="3.6640625" customWidth="1"/>
    <col min="19" max="19" width="2.33203125" customWidth="1"/>
    <col min="20" max="21" width="3.6640625" customWidth="1"/>
    <col min="22" max="22" width="2.33203125" customWidth="1"/>
    <col min="23" max="24" width="3.6640625" customWidth="1"/>
    <col min="25" max="25" width="2.33203125" customWidth="1"/>
    <col min="26" max="27" width="3.6640625" customWidth="1"/>
    <col min="28" max="28" width="2.33203125" customWidth="1"/>
    <col min="29" max="30" width="3.6640625" customWidth="1"/>
    <col min="31" max="31" width="2.33203125" customWidth="1"/>
    <col min="32" max="32" width="3.6640625" customWidth="1"/>
    <col min="33" max="33" width="9.6640625" customWidth="1"/>
    <col min="34" max="43" width="3.6640625" customWidth="1"/>
    <col min="44" max="44" width="11" customWidth="1"/>
    <col min="47" max="47" width="24.44140625" customWidth="1"/>
    <col min="48" max="48" width="15.88671875" customWidth="1"/>
    <col min="49" max="49" width="14.33203125" bestFit="1" customWidth="1"/>
    <col min="50" max="50" width="9.6640625" bestFit="1" customWidth="1"/>
    <col min="51" max="51" width="10" customWidth="1"/>
    <col min="52" max="52" width="25" customWidth="1"/>
    <col min="53" max="53" width="6" customWidth="1"/>
  </cols>
  <sheetData>
    <row r="1" spans="1:53" ht="13.8" thickBot="1" x14ac:dyDescent="0.3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64" t="s">
        <v>1</v>
      </c>
      <c r="AS1" s="3"/>
      <c r="AT1" s="167" t="s">
        <v>2</v>
      </c>
      <c r="AU1" s="168"/>
      <c r="AV1" s="168"/>
      <c r="AW1" s="169"/>
      <c r="AX1" s="170" t="s">
        <v>3</v>
      </c>
      <c r="AY1" s="171"/>
      <c r="AZ1" s="4" t="s">
        <v>4</v>
      </c>
      <c r="BA1" s="5">
        <v>16</v>
      </c>
    </row>
    <row r="2" spans="1:53" ht="18.75" customHeight="1" thickBot="1" x14ac:dyDescent="0.35">
      <c r="A2" s="164"/>
      <c r="B2" s="6" t="s">
        <v>5</v>
      </c>
      <c r="C2" s="7"/>
      <c r="D2" s="7"/>
      <c r="E2" s="8"/>
      <c r="F2" s="8"/>
      <c r="G2" s="9"/>
      <c r="H2" s="8"/>
      <c r="I2" s="10"/>
      <c r="J2" s="172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4"/>
      <c r="V2" s="175" t="s">
        <v>6</v>
      </c>
      <c r="W2" s="176"/>
      <c r="X2" s="177"/>
      <c r="Y2" s="178"/>
      <c r="Z2" s="179"/>
      <c r="AA2" s="179"/>
      <c r="AB2" s="179"/>
      <c r="AC2" s="179"/>
      <c r="AD2" s="179"/>
      <c r="AE2" s="179"/>
      <c r="AF2" s="180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3"/>
      <c r="AT2" s="12" t="s">
        <v>7</v>
      </c>
      <c r="AU2" s="13" t="s">
        <v>8</v>
      </c>
      <c r="AV2" s="14" t="s">
        <v>9</v>
      </c>
      <c r="AW2" s="165" t="s">
        <v>10</v>
      </c>
      <c r="AX2" s="16" t="s">
        <v>11</v>
      </c>
      <c r="AY2" s="165" t="s">
        <v>12</v>
      </c>
      <c r="AZ2" s="4" t="s">
        <v>13</v>
      </c>
      <c r="BA2" s="5">
        <v>16</v>
      </c>
    </row>
    <row r="3" spans="1:53" ht="18.75" customHeight="1" thickBot="1" x14ac:dyDescent="0.35">
      <c r="A3" s="164"/>
      <c r="B3" s="196" t="s">
        <v>14</v>
      </c>
      <c r="C3" s="197"/>
      <c r="D3" s="198"/>
      <c r="E3" s="199"/>
      <c r="F3" s="199"/>
      <c r="G3" s="199"/>
      <c r="H3" s="199"/>
      <c r="I3" s="199"/>
      <c r="J3" s="199"/>
      <c r="K3" s="199"/>
      <c r="L3" s="200"/>
      <c r="M3" s="201" t="s">
        <v>15</v>
      </c>
      <c r="N3" s="202"/>
      <c r="O3" s="203"/>
      <c r="P3" s="204"/>
      <c r="Q3" s="205"/>
      <c r="R3" s="206"/>
      <c r="S3" s="206"/>
      <c r="T3" s="206"/>
      <c r="U3" s="207"/>
      <c r="V3" s="208" t="s">
        <v>16</v>
      </c>
      <c r="W3" s="209"/>
      <c r="X3" s="209"/>
      <c r="Y3" s="209"/>
      <c r="Z3" s="209"/>
      <c r="AA3" s="210"/>
      <c r="AB3" s="156"/>
      <c r="AC3" s="181" t="s">
        <v>17</v>
      </c>
      <c r="AD3" s="181"/>
      <c r="AE3" s="181" t="s">
        <v>18</v>
      </c>
      <c r="AF3" s="182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3"/>
      <c r="AT3" s="18">
        <v>1</v>
      </c>
      <c r="AU3" s="19" t="str">
        <f>'7tm PM r1'!B179</f>
        <v>SC Midlands KP Garnet</v>
      </c>
      <c r="AV3" s="20" t="str">
        <f>'7tm PM r1'!H179</f>
        <v>fj1scmid2pm</v>
      </c>
      <c r="AW3" s="21">
        <f>VLOOKUP(AV3,'7tm PM r1'!$AV$3:$AX$9,3,FALSE)</f>
        <v>1246.5304984710244</v>
      </c>
      <c r="AX3" s="22">
        <f t="shared" ref="AX3:AX9" si="0">VLOOKUP(AU3,AT$79:AU$180,2,FALSE)</f>
        <v>1255.6657067714395</v>
      </c>
      <c r="AY3" s="23">
        <f t="shared" ref="AY3:AY9" si="1">IF(ISNA(VLOOKUP(AU3,AT$182:AU$243,2,FALSE)),AX3,VLOOKUP(AU3,AT$182:AU$243,2,FALSE))</f>
        <v>1255.6657067714395</v>
      </c>
    </row>
    <row r="4" spans="1:53" ht="24" customHeight="1" thickBot="1" x14ac:dyDescent="0.3">
      <c r="A4" s="164"/>
      <c r="B4" s="24"/>
      <c r="C4" s="24"/>
      <c r="D4" s="25"/>
      <c r="E4" s="26"/>
      <c r="F4" s="27"/>
      <c r="G4" s="27"/>
      <c r="H4" s="183" t="s">
        <v>19</v>
      </c>
      <c r="I4" s="184"/>
      <c r="J4" s="185"/>
      <c r="K4" s="185"/>
      <c r="L4" s="185"/>
      <c r="M4" s="185"/>
      <c r="N4" s="186"/>
      <c r="O4" s="187"/>
      <c r="P4" s="187"/>
      <c r="Q4" s="187"/>
      <c r="R4" s="187"/>
      <c r="S4" s="187"/>
      <c r="T4" s="187"/>
      <c r="U4" s="188"/>
      <c r="V4" s="189" t="s">
        <v>20</v>
      </c>
      <c r="W4" s="190"/>
      <c r="X4" s="190"/>
      <c r="Y4" s="190"/>
      <c r="Z4" s="191"/>
      <c r="AA4" s="192"/>
      <c r="AB4" s="187"/>
      <c r="AC4" s="187"/>
      <c r="AD4" s="187"/>
      <c r="AE4" s="187"/>
      <c r="AF4" s="188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3"/>
      <c r="AT4" s="28">
        <v>2</v>
      </c>
      <c r="AU4" s="19" t="str">
        <f>'7tm PM r1'!V179</f>
        <v>SC Midlands KP Silver</v>
      </c>
      <c r="AV4" s="30" t="str">
        <f>'7tm PM r1'!AB179</f>
        <v>fj1scmid4pm</v>
      </c>
      <c r="AW4" s="21">
        <f>VLOOKUP(AV4,'7tm PM r1'!$AV$3:$AX$9,3,FALSE)</f>
        <v>1185.4695015289756</v>
      </c>
      <c r="AX4" s="31">
        <f t="shared" si="0"/>
        <v>1212.8166633917963</v>
      </c>
      <c r="AY4" s="23">
        <f t="shared" si="1"/>
        <v>1212.8166633917963</v>
      </c>
    </row>
    <row r="5" spans="1:53" ht="15.6" thickBot="1" x14ac:dyDescent="0.3">
      <c r="A5" s="1" t="s">
        <v>21</v>
      </c>
      <c r="B5" s="193" t="s">
        <v>21</v>
      </c>
      <c r="C5" s="194"/>
      <c r="D5" s="194"/>
      <c r="E5" s="194"/>
      <c r="F5" s="194"/>
      <c r="G5" s="194"/>
      <c r="H5" s="194"/>
      <c r="I5" s="194"/>
      <c r="J5" s="194"/>
      <c r="K5" s="163"/>
      <c r="L5" s="195" t="s">
        <v>21</v>
      </c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3"/>
      <c r="AT5" s="28">
        <v>3</v>
      </c>
      <c r="AU5" s="19" t="str">
        <f>'7tm PM r1'!V180</f>
        <v>Columbia SC Starlings 12</v>
      </c>
      <c r="AV5" s="30" t="str">
        <f>'7tm PM r1'!AB180</f>
        <v>fj2starl1pm</v>
      </c>
      <c r="AW5" s="21">
        <f>VLOOKUP(AV5,'7tm PM r1'!$AV$3:$AX$9,3,FALSE)</f>
        <v>1151.7348719648749</v>
      </c>
      <c r="AX5" s="31">
        <f t="shared" si="0"/>
        <v>1122.7337390858468</v>
      </c>
      <c r="AY5" s="23">
        <f t="shared" si="1"/>
        <v>1122.7337390858468</v>
      </c>
    </row>
    <row r="6" spans="1:53" ht="24" customHeight="1" thickBot="1" x14ac:dyDescent="0.3">
      <c r="A6" s="33" t="s">
        <v>22</v>
      </c>
      <c r="B6" s="34" t="s">
        <v>23</v>
      </c>
      <c r="C6" s="211" t="s">
        <v>24</v>
      </c>
      <c r="D6" s="212"/>
      <c r="E6" s="212"/>
      <c r="F6" s="212"/>
      <c r="G6" s="212"/>
      <c r="H6" s="213"/>
      <c r="I6" s="214">
        <v>1</v>
      </c>
      <c r="J6" s="215"/>
      <c r="K6" s="216" t="str">
        <f>"Pool "&amp;B6&amp;" - Round 1 - Court "&amp;I6</f>
        <v>Pool A - Round 1 - Court 1</v>
      </c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8"/>
      <c r="AK6" s="11"/>
      <c r="AL6" s="11"/>
      <c r="AM6" s="11"/>
      <c r="AN6" s="11"/>
      <c r="AO6" s="11"/>
      <c r="AP6" s="11"/>
      <c r="AQ6" s="11"/>
      <c r="AR6" s="11"/>
      <c r="AT6" s="28">
        <v>4</v>
      </c>
      <c r="AU6" s="29" t="s">
        <v>159</v>
      </c>
      <c r="AV6" s="30" t="s">
        <v>160</v>
      </c>
      <c r="AW6" s="21">
        <f>VLOOKUP(AV6,'7tm PM r1'!$AV$3:$AX$9,3,FALSE)</f>
        <v>1237.251057639922</v>
      </c>
      <c r="AX6" s="31">
        <f>VLOOKUP(AU6,AT$79:AU$180,2,FALSE)</f>
        <v>1231.2021750002928</v>
      </c>
      <c r="AY6" s="23">
        <f>IF(ISNA(VLOOKUP(AU6,AT$182:AU$243,2,FALSE)),AX6,VLOOKUP(AU6,AT$182:AU$243,2,FALSE))</f>
        <v>1231.2021750002928</v>
      </c>
    </row>
    <row r="7" spans="1:53" ht="27" customHeight="1" thickBot="1" x14ac:dyDescent="0.3">
      <c r="A7" s="35" t="s">
        <v>25</v>
      </c>
      <c r="B7" s="183" t="s">
        <v>8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183" t="str">
        <f>IF($AL10=0,"Games Won","Matches Won")</f>
        <v>Matches Won</v>
      </c>
      <c r="N7" s="219"/>
      <c r="O7" s="219"/>
      <c r="P7" s="219"/>
      <c r="Q7" s="219"/>
      <c r="R7" s="220"/>
      <c r="S7" s="183" t="str">
        <f>IF($AL10=0,"Games Lost","Matches Lost")</f>
        <v>Matches Lost</v>
      </c>
      <c r="T7" s="221"/>
      <c r="U7" s="221"/>
      <c r="V7" s="221"/>
      <c r="W7" s="222"/>
      <c r="X7" s="223" t="s">
        <v>26</v>
      </c>
      <c r="Y7" s="224"/>
      <c r="Z7" s="225"/>
      <c r="AA7" s="223" t="s">
        <v>27</v>
      </c>
      <c r="AB7" s="224"/>
      <c r="AC7" s="225"/>
      <c r="AD7" s="226" t="s">
        <v>28</v>
      </c>
      <c r="AE7" s="227"/>
      <c r="AF7" s="228"/>
      <c r="AG7" s="36" t="s">
        <v>29</v>
      </c>
      <c r="AH7" s="37" t="s">
        <v>7</v>
      </c>
      <c r="AI7" s="229" t="s">
        <v>30</v>
      </c>
      <c r="AJ7" s="230"/>
      <c r="AK7" s="38"/>
      <c r="AL7" s="39">
        <v>1</v>
      </c>
      <c r="AM7" s="40" t="s">
        <v>31</v>
      </c>
      <c r="AN7" s="40"/>
      <c r="AO7" s="40"/>
      <c r="AP7" s="40"/>
      <c r="AQ7" s="40"/>
      <c r="AR7" s="40"/>
      <c r="AS7" s="41"/>
      <c r="AT7" s="28">
        <v>5</v>
      </c>
      <c r="AU7" s="29" t="s">
        <v>157</v>
      </c>
      <c r="AV7" s="30" t="s">
        <v>158</v>
      </c>
      <c r="AW7" s="21">
        <f>VLOOKUP(AV7,'7tm PM r1'!$AV$3:$AX$9,3,FALSE)</f>
        <v>1340.2864854074439</v>
      </c>
      <c r="AX7" s="31">
        <f t="shared" si="0"/>
        <v>1356.6128999687164</v>
      </c>
      <c r="AY7" s="23">
        <f t="shared" si="1"/>
        <v>1356.6128999687164</v>
      </c>
    </row>
    <row r="8" spans="1:53" ht="18.75" customHeight="1" x14ac:dyDescent="0.25">
      <c r="A8" s="231" t="str">
        <f>IF($AL9&gt;0,"1","")</f>
        <v>1</v>
      </c>
      <c r="B8" s="233" t="s">
        <v>8</v>
      </c>
      <c r="C8" s="234"/>
      <c r="D8" s="235"/>
      <c r="E8" s="236" t="str">
        <f>AU3</f>
        <v>SC Midlands KP Garnet</v>
      </c>
      <c r="F8" s="237"/>
      <c r="G8" s="237"/>
      <c r="H8" s="237"/>
      <c r="I8" s="237"/>
      <c r="J8" s="237"/>
      <c r="K8" s="237"/>
      <c r="L8" s="238"/>
      <c r="M8" s="239">
        <f>IF($AL10=0,AG64,AG46)</f>
        <v>2</v>
      </c>
      <c r="N8" s="240"/>
      <c r="O8" s="240"/>
      <c r="P8" s="240"/>
      <c r="Q8" s="240"/>
      <c r="R8" s="220"/>
      <c r="S8" s="239">
        <f>IF($AL10=0,AH64,AH46)</f>
        <v>1</v>
      </c>
      <c r="T8" s="240"/>
      <c r="U8" s="240"/>
      <c r="V8" s="240"/>
      <c r="W8" s="240"/>
      <c r="X8" s="239">
        <f>AR24</f>
        <v>2</v>
      </c>
      <c r="Y8" s="240"/>
      <c r="Z8" s="240"/>
      <c r="AA8" s="243">
        <f>IF(AG58&gt;0,(AR24/AG58),0)</f>
        <v>2.247191011235955E-2</v>
      </c>
      <c r="AB8" s="244"/>
      <c r="AC8" s="244"/>
      <c r="AD8" s="247">
        <f>IF(AG72=0,0,(AG64/AG72))</f>
        <v>0.66666666666666663</v>
      </c>
      <c r="AE8" s="248"/>
      <c r="AF8" s="249"/>
      <c r="AG8" s="253">
        <v>2</v>
      </c>
      <c r="AH8" s="253">
        <v>1</v>
      </c>
      <c r="AI8" s="255"/>
      <c r="AJ8" s="256"/>
      <c r="AK8" s="38"/>
      <c r="AL8" s="39">
        <v>6</v>
      </c>
      <c r="AM8" s="40" t="s">
        <v>32</v>
      </c>
      <c r="AN8" s="40"/>
      <c r="AO8" s="40"/>
      <c r="AP8" s="40"/>
      <c r="AQ8" s="40"/>
      <c r="AR8" s="40"/>
      <c r="AS8" s="41"/>
      <c r="AT8" s="28">
        <v>6</v>
      </c>
      <c r="AU8" s="29" t="str">
        <f>'7tm PM r1'!AF179</f>
        <v>Foothills Skylar</v>
      </c>
      <c r="AV8" s="30" t="str">
        <f>'7tm PM r1'!AL179</f>
        <v>fj2footh3pm</v>
      </c>
      <c r="AW8" s="21">
        <f>VLOOKUP(AV8,'7tm PM r1'!$AV$3:$AX$9,3,FALSE)</f>
        <v>1153.4695015289756</v>
      </c>
      <c r="AX8" s="31">
        <f t="shared" si="0"/>
        <v>1155.1234725451829</v>
      </c>
      <c r="AY8" s="23">
        <f t="shared" si="1"/>
        <v>1155.1234725451829</v>
      </c>
    </row>
    <row r="9" spans="1:53" ht="18.75" customHeight="1" thickBot="1" x14ac:dyDescent="0.3">
      <c r="A9" s="232"/>
      <c r="B9" s="263" t="s">
        <v>9</v>
      </c>
      <c r="C9" s="264"/>
      <c r="D9" s="265"/>
      <c r="E9" s="261" t="str">
        <f>AV3</f>
        <v>fj1scmid2pm</v>
      </c>
      <c r="F9" s="262"/>
      <c r="G9" s="262"/>
      <c r="H9" s="262"/>
      <c r="I9" s="262"/>
      <c r="J9" s="262"/>
      <c r="K9" s="262"/>
      <c r="L9" s="262"/>
      <c r="M9" s="241"/>
      <c r="N9" s="242"/>
      <c r="O9" s="242"/>
      <c r="P9" s="242"/>
      <c r="Q9" s="242"/>
      <c r="R9" s="220"/>
      <c r="S9" s="241"/>
      <c r="T9" s="242"/>
      <c r="U9" s="242"/>
      <c r="V9" s="242"/>
      <c r="W9" s="242"/>
      <c r="X9" s="241"/>
      <c r="Y9" s="242"/>
      <c r="Z9" s="242"/>
      <c r="AA9" s="245"/>
      <c r="AB9" s="246"/>
      <c r="AC9" s="246"/>
      <c r="AD9" s="250"/>
      <c r="AE9" s="251"/>
      <c r="AF9" s="252"/>
      <c r="AG9" s="254"/>
      <c r="AH9" s="254"/>
      <c r="AI9" s="257"/>
      <c r="AJ9" s="258"/>
      <c r="AK9" s="38"/>
      <c r="AL9" s="39">
        <v>4</v>
      </c>
      <c r="AM9" s="40" t="s">
        <v>33</v>
      </c>
      <c r="AN9" s="38"/>
      <c r="AO9" s="38"/>
      <c r="AP9" s="38"/>
      <c r="AQ9" s="38"/>
      <c r="AR9" s="38"/>
      <c r="AS9" s="3"/>
      <c r="AT9" s="28">
        <v>7</v>
      </c>
      <c r="AU9" s="29" t="str">
        <f>'7tm PM r1'!L179</f>
        <v>Kershaw Dev 12 Black</v>
      </c>
      <c r="AV9" s="30" t="str">
        <f>'7tm PM r1'!R179</f>
        <v>fj2kersh4pm</v>
      </c>
      <c r="AW9" s="21">
        <f>VLOOKUP(AV9,'7tm PM r1'!$AV$3:$AX$9,3,FALSE)</f>
        <v>1214.5304984710244</v>
      </c>
      <c r="AX9" s="31">
        <f t="shared" si="0"/>
        <v>1195.1177582489661</v>
      </c>
      <c r="AY9" s="23">
        <f t="shared" si="1"/>
        <v>1195.1177582489661</v>
      </c>
    </row>
    <row r="10" spans="1:53" ht="18.75" customHeight="1" x14ac:dyDescent="0.25">
      <c r="A10" s="231" t="str">
        <f>IF($AL9&gt;1,"2","")</f>
        <v>2</v>
      </c>
      <c r="B10" s="233" t="s">
        <v>8</v>
      </c>
      <c r="C10" s="234"/>
      <c r="D10" s="235"/>
      <c r="E10" s="236" t="str">
        <f>AU6</f>
        <v>SC Midlands KP Black</v>
      </c>
      <c r="F10" s="237"/>
      <c r="G10" s="237"/>
      <c r="H10" s="237"/>
      <c r="I10" s="237"/>
      <c r="J10" s="237"/>
      <c r="K10" s="237"/>
      <c r="L10" s="238"/>
      <c r="M10" s="239">
        <f>IF($AL10=0,AG65,AG47)</f>
        <v>1</v>
      </c>
      <c r="N10" s="240"/>
      <c r="O10" s="240"/>
      <c r="P10" s="240"/>
      <c r="Q10" s="240"/>
      <c r="R10" s="220"/>
      <c r="S10" s="239">
        <f>IF($AL10=0,AH65,AH47)</f>
        <v>2</v>
      </c>
      <c r="T10" s="240"/>
      <c r="U10" s="240"/>
      <c r="V10" s="240"/>
      <c r="W10" s="240"/>
      <c r="X10" s="239">
        <f>AR25</f>
        <v>4</v>
      </c>
      <c r="Y10" s="240"/>
      <c r="Z10" s="240"/>
      <c r="AA10" s="243">
        <f>IF(AG59&gt;0,(AR25/AG59),0)</f>
        <v>4.3956043956043959E-2</v>
      </c>
      <c r="AB10" s="244"/>
      <c r="AC10" s="244"/>
      <c r="AD10" s="247">
        <f>IF(AG73=0,0,(AG65/AG73))</f>
        <v>0.33333333333333331</v>
      </c>
      <c r="AE10" s="248"/>
      <c r="AF10" s="249"/>
      <c r="AG10" s="253">
        <v>3</v>
      </c>
      <c r="AH10" s="253">
        <v>1</v>
      </c>
      <c r="AI10" s="255"/>
      <c r="AJ10" s="256"/>
      <c r="AK10" s="38"/>
      <c r="AL10" s="39">
        <v>1</v>
      </c>
      <c r="AM10" s="40" t="s">
        <v>34</v>
      </c>
      <c r="AN10" s="40"/>
      <c r="AO10" s="40"/>
      <c r="AP10" s="40"/>
      <c r="AQ10" s="40"/>
      <c r="AR10" s="40"/>
      <c r="AS10" s="41"/>
      <c r="AT10" s="42"/>
      <c r="AU10" s="43"/>
      <c r="AV10" s="44"/>
      <c r="AW10" s="45"/>
      <c r="AX10" s="46"/>
      <c r="AY10" s="47"/>
    </row>
    <row r="11" spans="1:53" ht="18.75" customHeight="1" thickBot="1" x14ac:dyDescent="0.3">
      <c r="A11" s="232"/>
      <c r="B11" s="259" t="s">
        <v>9</v>
      </c>
      <c r="C11" s="260"/>
      <c r="D11" s="260"/>
      <c r="E11" s="261" t="str">
        <f>AV6</f>
        <v>fj1scmid1pm</v>
      </c>
      <c r="F11" s="262"/>
      <c r="G11" s="262"/>
      <c r="H11" s="262"/>
      <c r="I11" s="262"/>
      <c r="J11" s="262"/>
      <c r="K11" s="262"/>
      <c r="L11" s="262"/>
      <c r="M11" s="241"/>
      <c r="N11" s="242"/>
      <c r="O11" s="242"/>
      <c r="P11" s="242"/>
      <c r="Q11" s="242"/>
      <c r="R11" s="220"/>
      <c r="S11" s="241"/>
      <c r="T11" s="242"/>
      <c r="U11" s="242"/>
      <c r="V11" s="242"/>
      <c r="W11" s="242"/>
      <c r="X11" s="241"/>
      <c r="Y11" s="242"/>
      <c r="Z11" s="242"/>
      <c r="AA11" s="245"/>
      <c r="AB11" s="246"/>
      <c r="AC11" s="246"/>
      <c r="AD11" s="250"/>
      <c r="AE11" s="251"/>
      <c r="AF11" s="252"/>
      <c r="AG11" s="254"/>
      <c r="AH11" s="254"/>
      <c r="AI11" s="257"/>
      <c r="AJ11" s="258"/>
      <c r="AK11" s="38"/>
      <c r="AL11" s="39">
        <v>1</v>
      </c>
      <c r="AM11" s="40" t="s">
        <v>35</v>
      </c>
      <c r="AN11" s="38"/>
      <c r="AO11" s="38"/>
      <c r="AP11" s="38"/>
      <c r="AQ11" s="38"/>
      <c r="AR11" s="38"/>
      <c r="AS11" s="3"/>
      <c r="AT11" s="42"/>
      <c r="AU11" s="43"/>
      <c r="AV11" s="44"/>
      <c r="AW11" s="45"/>
      <c r="AX11" s="46"/>
      <c r="AY11" s="47"/>
    </row>
    <row r="12" spans="1:53" ht="18.75" customHeight="1" thickBot="1" x14ac:dyDescent="0.3">
      <c r="A12" s="231" t="str">
        <f>IF($AL9&gt;2,"3","")</f>
        <v>3</v>
      </c>
      <c r="B12" s="266" t="s">
        <v>8</v>
      </c>
      <c r="C12" s="267"/>
      <c r="D12" s="267"/>
      <c r="E12" s="236" t="str">
        <f>AU7</f>
        <v>Intense Kids power Gvl</v>
      </c>
      <c r="F12" s="237"/>
      <c r="G12" s="237"/>
      <c r="H12" s="237"/>
      <c r="I12" s="237"/>
      <c r="J12" s="237"/>
      <c r="K12" s="237"/>
      <c r="L12" s="238"/>
      <c r="M12" s="239">
        <f>IF($AL10=0,AG66,AG48)</f>
        <v>3</v>
      </c>
      <c r="N12" s="240"/>
      <c r="O12" s="240"/>
      <c r="P12" s="240"/>
      <c r="Q12" s="240"/>
      <c r="R12" s="220"/>
      <c r="S12" s="239">
        <f>IF($AL10=0,AH66,AH48)</f>
        <v>0</v>
      </c>
      <c r="T12" s="240"/>
      <c r="U12" s="240"/>
      <c r="V12" s="240"/>
      <c r="W12" s="240"/>
      <c r="X12" s="239">
        <f>AR26</f>
        <v>31</v>
      </c>
      <c r="Y12" s="240"/>
      <c r="Z12" s="240"/>
      <c r="AA12" s="243">
        <f>IF(AG60&gt;0,(AR26/AG60),0)</f>
        <v>0.31</v>
      </c>
      <c r="AB12" s="244"/>
      <c r="AC12" s="244"/>
      <c r="AD12" s="247">
        <f>IF(AG74=0,0,(AG66/AG74))</f>
        <v>1</v>
      </c>
      <c r="AE12" s="248"/>
      <c r="AF12" s="249"/>
      <c r="AG12" s="253">
        <v>1</v>
      </c>
      <c r="AH12" s="253">
        <v>1</v>
      </c>
      <c r="AI12" s="255"/>
      <c r="AJ12" s="256"/>
      <c r="AK12" s="48"/>
      <c r="AL12" s="39">
        <v>3</v>
      </c>
      <c r="AM12" s="49" t="s">
        <v>36</v>
      </c>
      <c r="AN12" s="40"/>
      <c r="AO12" s="40"/>
      <c r="AP12" s="40"/>
      <c r="AQ12" s="40"/>
      <c r="AR12" s="40"/>
      <c r="AS12" s="41"/>
      <c r="AT12" s="50"/>
      <c r="AU12" s="51"/>
      <c r="AV12" s="52"/>
      <c r="AW12" s="53"/>
      <c r="AX12" s="54"/>
      <c r="AY12" s="55"/>
    </row>
    <row r="13" spans="1:53" ht="18.75" customHeight="1" thickBot="1" x14ac:dyDescent="0.3">
      <c r="A13" s="232"/>
      <c r="B13" s="259" t="s">
        <v>9</v>
      </c>
      <c r="C13" s="260"/>
      <c r="D13" s="260"/>
      <c r="E13" s="261" t="str">
        <f>AV7</f>
        <v>fj2inten2pm</v>
      </c>
      <c r="F13" s="262"/>
      <c r="G13" s="262"/>
      <c r="H13" s="262"/>
      <c r="I13" s="262"/>
      <c r="J13" s="262"/>
      <c r="K13" s="262"/>
      <c r="L13" s="262"/>
      <c r="M13" s="241"/>
      <c r="N13" s="242"/>
      <c r="O13" s="242"/>
      <c r="P13" s="242"/>
      <c r="Q13" s="242"/>
      <c r="R13" s="220"/>
      <c r="S13" s="241"/>
      <c r="T13" s="242"/>
      <c r="U13" s="242"/>
      <c r="V13" s="242"/>
      <c r="W13" s="242"/>
      <c r="X13" s="241"/>
      <c r="Y13" s="242"/>
      <c r="Z13" s="242"/>
      <c r="AA13" s="245"/>
      <c r="AB13" s="246"/>
      <c r="AC13" s="246"/>
      <c r="AD13" s="250"/>
      <c r="AE13" s="251"/>
      <c r="AF13" s="252"/>
      <c r="AG13" s="254"/>
      <c r="AH13" s="254"/>
      <c r="AI13" s="257"/>
      <c r="AJ13" s="258"/>
      <c r="AK13" s="48"/>
      <c r="AL13" s="56"/>
      <c r="AM13" s="57"/>
      <c r="AN13" s="57"/>
      <c r="AO13" s="57"/>
      <c r="AP13" s="57"/>
      <c r="AQ13" s="57"/>
      <c r="AR13" s="38"/>
      <c r="AS13" s="3"/>
      <c r="AT13" s="270" t="s">
        <v>37</v>
      </c>
      <c r="AU13" s="271"/>
      <c r="AV13" s="271"/>
      <c r="AW13" s="271"/>
      <c r="AX13" s="271"/>
      <c r="AY13" s="272"/>
    </row>
    <row r="14" spans="1:53" ht="18.75" customHeight="1" thickBot="1" x14ac:dyDescent="0.3">
      <c r="A14" s="231" t="str">
        <f>IF($AL9&gt;3,"4","")</f>
        <v>4</v>
      </c>
      <c r="B14" s="266" t="s">
        <v>8</v>
      </c>
      <c r="C14" s="267"/>
      <c r="D14" s="267"/>
      <c r="E14" s="236" t="str">
        <f>AU9</f>
        <v>Kershaw Dev 12 Black</v>
      </c>
      <c r="F14" s="237"/>
      <c r="G14" s="237"/>
      <c r="H14" s="237"/>
      <c r="I14" s="237"/>
      <c r="J14" s="237"/>
      <c r="K14" s="237"/>
      <c r="L14" s="238"/>
      <c r="M14" s="239">
        <f>IF($AL10=0,AG67,AG49)</f>
        <v>0</v>
      </c>
      <c r="N14" s="240"/>
      <c r="O14" s="240"/>
      <c r="P14" s="240"/>
      <c r="Q14" s="240"/>
      <c r="R14" s="220"/>
      <c r="S14" s="239">
        <f>IF($AL10=0,AH67,AH49)</f>
        <v>3</v>
      </c>
      <c r="T14" s="240"/>
      <c r="U14" s="240"/>
      <c r="V14" s="240"/>
      <c r="W14" s="240"/>
      <c r="X14" s="239">
        <f>AR27</f>
        <v>-37</v>
      </c>
      <c r="Y14" s="240"/>
      <c r="Z14" s="240"/>
      <c r="AA14" s="243">
        <f>IF(AG61&gt;0,(AR27/AG61),0)</f>
        <v>-0.36274509803921567</v>
      </c>
      <c r="AB14" s="244"/>
      <c r="AC14" s="244"/>
      <c r="AD14" s="247">
        <f>IF(AG75=0,0,(AG67/AG75))</f>
        <v>0</v>
      </c>
      <c r="AE14" s="248"/>
      <c r="AF14" s="249"/>
      <c r="AG14" s="253">
        <v>4</v>
      </c>
      <c r="AH14" s="253">
        <v>1</v>
      </c>
      <c r="AI14" s="255"/>
      <c r="AJ14" s="256"/>
      <c r="AK14" s="11"/>
      <c r="AL14" s="57"/>
      <c r="AM14" s="57"/>
      <c r="AN14" s="57"/>
      <c r="AO14" s="57"/>
      <c r="AP14" s="57"/>
      <c r="AQ14" s="57"/>
      <c r="AR14" s="40"/>
      <c r="AS14" s="41"/>
      <c r="AT14" s="273"/>
      <c r="AU14" s="274"/>
      <c r="AV14" s="274"/>
      <c r="AW14" s="274"/>
      <c r="AX14" s="274"/>
      <c r="AY14" s="275"/>
    </row>
    <row r="15" spans="1:53" ht="18.75" customHeight="1" thickBot="1" x14ac:dyDescent="0.3">
      <c r="A15" s="232"/>
      <c r="B15" s="259" t="s">
        <v>9</v>
      </c>
      <c r="C15" s="260"/>
      <c r="D15" s="260"/>
      <c r="E15" s="261" t="str">
        <f>AV9</f>
        <v>fj2kersh4pm</v>
      </c>
      <c r="F15" s="262"/>
      <c r="G15" s="262"/>
      <c r="H15" s="262"/>
      <c r="I15" s="262"/>
      <c r="J15" s="262"/>
      <c r="K15" s="262"/>
      <c r="L15" s="262"/>
      <c r="M15" s="241"/>
      <c r="N15" s="242"/>
      <c r="O15" s="242"/>
      <c r="P15" s="242"/>
      <c r="Q15" s="242"/>
      <c r="R15" s="220"/>
      <c r="S15" s="241"/>
      <c r="T15" s="242"/>
      <c r="U15" s="242"/>
      <c r="V15" s="242"/>
      <c r="W15" s="242"/>
      <c r="X15" s="241"/>
      <c r="Y15" s="242"/>
      <c r="Z15" s="242"/>
      <c r="AA15" s="245"/>
      <c r="AB15" s="246"/>
      <c r="AC15" s="246"/>
      <c r="AD15" s="250"/>
      <c r="AE15" s="251"/>
      <c r="AF15" s="252"/>
      <c r="AG15" s="254"/>
      <c r="AH15" s="254"/>
      <c r="AI15" s="257"/>
      <c r="AJ15" s="258"/>
      <c r="AK15" s="11"/>
      <c r="AL15" s="57"/>
      <c r="AM15" s="57"/>
      <c r="AN15" s="57"/>
      <c r="AO15" s="57"/>
      <c r="AP15" s="57"/>
      <c r="AQ15" s="57"/>
      <c r="AR15" s="11"/>
      <c r="AS15" s="3"/>
    </row>
    <row r="16" spans="1:53" ht="18.75" customHeight="1" x14ac:dyDescent="0.25">
      <c r="A16" s="231" t="str">
        <f>IF($AL9&gt;4,"5","")</f>
        <v/>
      </c>
      <c r="B16" s="266" t="s">
        <v>8</v>
      </c>
      <c r="C16" s="267"/>
      <c r="D16" s="267"/>
      <c r="E16" s="236">
        <f>AU11</f>
        <v>0</v>
      </c>
      <c r="F16" s="237"/>
      <c r="G16" s="237"/>
      <c r="H16" s="237"/>
      <c r="I16" s="237"/>
      <c r="J16" s="237"/>
      <c r="K16" s="237"/>
      <c r="L16" s="238"/>
      <c r="M16" s="239">
        <f>IF($AL10=0,AG68,AG50)</f>
        <v>0</v>
      </c>
      <c r="N16" s="240"/>
      <c r="O16" s="240"/>
      <c r="P16" s="240"/>
      <c r="Q16" s="240"/>
      <c r="R16" s="220"/>
      <c r="S16" s="239">
        <f>IF($AL10=0,AH68,AH50)</f>
        <v>0</v>
      </c>
      <c r="T16" s="240"/>
      <c r="U16" s="240"/>
      <c r="V16" s="240"/>
      <c r="W16" s="240"/>
      <c r="X16" s="239">
        <f>AR28</f>
        <v>0</v>
      </c>
      <c r="Y16" s="240"/>
      <c r="Z16" s="240"/>
      <c r="AA16" s="243">
        <f>IF(AG62&gt;0,(AR28/AG62),0)</f>
        <v>0</v>
      </c>
      <c r="AB16" s="244"/>
      <c r="AC16" s="244"/>
      <c r="AD16" s="247">
        <f>IF(AG76=0,0,(AG68/AG76))</f>
        <v>0</v>
      </c>
      <c r="AE16" s="248"/>
      <c r="AF16" s="249"/>
      <c r="AG16" s="253"/>
      <c r="AH16" s="253"/>
      <c r="AI16" s="255"/>
      <c r="AJ16" s="256"/>
      <c r="AK16" s="11"/>
      <c r="AL16" s="57"/>
      <c r="AM16" s="57"/>
      <c r="AN16" s="57"/>
      <c r="AO16" s="57"/>
      <c r="AP16" s="57"/>
      <c r="AQ16" s="57"/>
      <c r="AR16" s="11"/>
      <c r="AS16" s="3"/>
      <c r="AT16" s="158"/>
      <c r="AU16" s="158"/>
    </row>
    <row r="17" spans="1:48" ht="18.75" customHeight="1" thickBot="1" x14ac:dyDescent="0.3">
      <c r="A17" s="232"/>
      <c r="B17" s="277" t="s">
        <v>9</v>
      </c>
      <c r="C17" s="278"/>
      <c r="D17" s="278"/>
      <c r="E17" s="279">
        <f>AV11</f>
        <v>0</v>
      </c>
      <c r="F17" s="280"/>
      <c r="G17" s="280"/>
      <c r="H17" s="280"/>
      <c r="I17" s="280"/>
      <c r="J17" s="280"/>
      <c r="K17" s="280"/>
      <c r="L17" s="280"/>
      <c r="M17" s="268"/>
      <c r="N17" s="269"/>
      <c r="O17" s="269"/>
      <c r="P17" s="269"/>
      <c r="Q17" s="269"/>
      <c r="R17" s="220"/>
      <c r="S17" s="241"/>
      <c r="T17" s="242"/>
      <c r="U17" s="242"/>
      <c r="V17" s="242"/>
      <c r="W17" s="242"/>
      <c r="X17" s="241"/>
      <c r="Y17" s="242"/>
      <c r="Z17" s="242"/>
      <c r="AA17" s="245"/>
      <c r="AB17" s="246"/>
      <c r="AC17" s="246"/>
      <c r="AD17" s="250"/>
      <c r="AE17" s="251"/>
      <c r="AF17" s="252"/>
      <c r="AG17" s="254"/>
      <c r="AH17" s="276"/>
      <c r="AI17" s="257"/>
      <c r="AJ17" s="258"/>
      <c r="AK17" s="11"/>
      <c r="AL17" s="57"/>
      <c r="AM17" s="57"/>
      <c r="AN17" s="57"/>
      <c r="AO17" s="57"/>
      <c r="AP17" s="57"/>
      <c r="AQ17" s="57"/>
      <c r="AR17" s="11"/>
      <c r="AS17" s="3"/>
      <c r="AT17" s="158"/>
      <c r="AU17" s="158" t="s">
        <v>157</v>
      </c>
      <c r="AV17" t="s">
        <v>158</v>
      </c>
    </row>
    <row r="18" spans="1:48" ht="21" customHeight="1" thickTop="1" thickBot="1" x14ac:dyDescent="0.3">
      <c r="A18" s="59"/>
      <c r="B18" s="281" t="s">
        <v>38</v>
      </c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3"/>
      <c r="AK18" s="11"/>
      <c r="AL18" s="57"/>
      <c r="AM18" s="57"/>
      <c r="AN18" s="57"/>
      <c r="AO18" s="57"/>
      <c r="AP18" s="57"/>
      <c r="AQ18" s="57"/>
      <c r="AR18" s="11"/>
      <c r="AS18" s="3"/>
      <c r="AT18" s="158"/>
      <c r="AU18" s="158"/>
    </row>
    <row r="19" spans="1:48" ht="13.8" thickTop="1" x14ac:dyDescent="0.25">
      <c r="A19" t="s">
        <v>39</v>
      </c>
      <c r="B19" s="284">
        <v>0.35416666666666669</v>
      </c>
      <c r="C19" s="285"/>
      <c r="D19" s="286"/>
      <c r="E19" s="284">
        <v>0.39583333333333331</v>
      </c>
      <c r="F19" s="285"/>
      <c r="G19" s="286"/>
      <c r="H19" s="284">
        <v>0.4375</v>
      </c>
      <c r="I19" s="285"/>
      <c r="J19" s="286"/>
      <c r="K19" s="287"/>
      <c r="L19" s="284">
        <v>0.5</v>
      </c>
      <c r="M19" s="285"/>
      <c r="N19" s="286"/>
      <c r="O19" s="284">
        <v>4.1666666666666664E-2</v>
      </c>
      <c r="P19" s="285"/>
      <c r="Q19" s="286"/>
      <c r="R19" s="284">
        <v>8.3333333333333329E-2</v>
      </c>
      <c r="S19" s="285"/>
      <c r="T19" s="286"/>
      <c r="U19" s="284"/>
      <c r="V19" s="285"/>
      <c r="W19" s="286"/>
      <c r="X19" s="284"/>
      <c r="Y19" s="285"/>
      <c r="Z19" s="286"/>
      <c r="AA19" s="284"/>
      <c r="AB19" s="285"/>
      <c r="AC19" s="286"/>
      <c r="AD19" s="284"/>
      <c r="AE19" s="285"/>
      <c r="AF19" s="286"/>
      <c r="AG19" s="290" t="s">
        <v>40</v>
      </c>
      <c r="AH19" s="291"/>
      <c r="AI19" s="291"/>
      <c r="AJ19" s="291"/>
      <c r="AK19" s="292"/>
      <c r="AL19" s="292"/>
      <c r="AM19" s="292"/>
      <c r="AN19" s="292"/>
      <c r="AO19" s="292"/>
      <c r="AP19" s="292"/>
      <c r="AQ19" s="292"/>
      <c r="AR19" s="293"/>
      <c r="AT19" s="158"/>
      <c r="AU19" s="158"/>
    </row>
    <row r="20" spans="1:48" x14ac:dyDescent="0.25">
      <c r="A20" s="60" t="s">
        <v>41</v>
      </c>
      <c r="B20" s="298"/>
      <c r="C20" s="299"/>
      <c r="D20" s="300"/>
      <c r="E20" s="298"/>
      <c r="F20" s="299"/>
      <c r="G20" s="300"/>
      <c r="H20" s="298"/>
      <c r="I20" s="299"/>
      <c r="J20" s="300"/>
      <c r="K20" s="288"/>
      <c r="L20" s="298"/>
      <c r="M20" s="299"/>
      <c r="N20" s="300"/>
      <c r="O20" s="298"/>
      <c r="P20" s="299"/>
      <c r="Q20" s="300"/>
      <c r="R20" s="298"/>
      <c r="S20" s="299"/>
      <c r="T20" s="300"/>
      <c r="U20" s="298"/>
      <c r="V20" s="299"/>
      <c r="W20" s="300"/>
      <c r="X20" s="298"/>
      <c r="Y20" s="299"/>
      <c r="Z20" s="300"/>
      <c r="AA20" s="298"/>
      <c r="AB20" s="299"/>
      <c r="AC20" s="300"/>
      <c r="AD20" s="298"/>
      <c r="AE20" s="299"/>
      <c r="AF20" s="300"/>
      <c r="AG20" s="290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4"/>
      <c r="AT20" s="158"/>
      <c r="AU20" s="158"/>
    </row>
    <row r="21" spans="1:48" x14ac:dyDescent="0.25">
      <c r="A21" s="60" t="s">
        <v>42</v>
      </c>
      <c r="B21" s="298"/>
      <c r="C21" s="299"/>
      <c r="D21" s="300"/>
      <c r="E21" s="298"/>
      <c r="F21" s="299"/>
      <c r="G21" s="300"/>
      <c r="H21" s="298"/>
      <c r="I21" s="299"/>
      <c r="J21" s="300"/>
      <c r="K21" s="288"/>
      <c r="L21" s="298"/>
      <c r="M21" s="299"/>
      <c r="N21" s="300"/>
      <c r="O21" s="298"/>
      <c r="P21" s="299"/>
      <c r="Q21" s="300"/>
      <c r="R21" s="298"/>
      <c r="S21" s="299"/>
      <c r="T21" s="300"/>
      <c r="U21" s="298"/>
      <c r="V21" s="299"/>
      <c r="W21" s="300"/>
      <c r="X21" s="298"/>
      <c r="Y21" s="299"/>
      <c r="Z21" s="300"/>
      <c r="AA21" s="298"/>
      <c r="AB21" s="299"/>
      <c r="AC21" s="300"/>
      <c r="AD21" s="298"/>
      <c r="AE21" s="299"/>
      <c r="AF21" s="300"/>
      <c r="AG21" s="290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4"/>
      <c r="AT21" s="5"/>
      <c r="AU21" s="5"/>
    </row>
    <row r="22" spans="1:48" ht="13.8" thickBot="1" x14ac:dyDescent="0.3">
      <c r="A22" s="11"/>
      <c r="B22" s="301" t="s">
        <v>43</v>
      </c>
      <c r="C22" s="302"/>
      <c r="D22" s="303"/>
      <c r="E22" s="301" t="str">
        <f>IF(AL8&gt;1,"Match 2","")</f>
        <v>Match 2</v>
      </c>
      <c r="F22" s="302"/>
      <c r="G22" s="303"/>
      <c r="H22" s="301" t="str">
        <f>IF(AL8&gt;2,"Match 3","")</f>
        <v>Match 3</v>
      </c>
      <c r="I22" s="302"/>
      <c r="J22" s="303"/>
      <c r="K22" s="288"/>
      <c r="L22" s="301" t="str">
        <f>IF(AL8&gt;3,"Match 4","")</f>
        <v>Match 4</v>
      </c>
      <c r="M22" s="302"/>
      <c r="N22" s="303"/>
      <c r="O22" s="301" t="str">
        <f>IF(AL8&gt;4,"Match 5","")</f>
        <v>Match 5</v>
      </c>
      <c r="P22" s="302"/>
      <c r="Q22" s="303"/>
      <c r="R22" s="301" t="str">
        <f>IF(AL8&gt;5,"Match 6","")</f>
        <v>Match 6</v>
      </c>
      <c r="S22" s="302"/>
      <c r="T22" s="303"/>
      <c r="U22" s="301" t="str">
        <f>IF(AL8&gt;6,"Match 7","")</f>
        <v/>
      </c>
      <c r="V22" s="302"/>
      <c r="W22" s="303"/>
      <c r="X22" s="301" t="str">
        <f>IF(AL8&gt;7,"Match 8","")</f>
        <v/>
      </c>
      <c r="Y22" s="302"/>
      <c r="Z22" s="303"/>
      <c r="AA22" s="301" t="str">
        <f>IF(AL8&gt;8,"Match 9","")</f>
        <v/>
      </c>
      <c r="AB22" s="302"/>
      <c r="AC22" s="303"/>
      <c r="AD22" s="301" t="str">
        <f>IF(AL8&gt;9,"Match 10","")</f>
        <v/>
      </c>
      <c r="AE22" s="302"/>
      <c r="AF22" s="303"/>
      <c r="AG22" s="295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7"/>
      <c r="AT22" s="158"/>
      <c r="AU22" s="158"/>
    </row>
    <row r="23" spans="1:48" ht="15.6" x14ac:dyDescent="0.3">
      <c r="A23" s="11"/>
      <c r="B23" s="304" t="s">
        <v>44</v>
      </c>
      <c r="C23" s="305"/>
      <c r="D23" s="306"/>
      <c r="E23" s="304" t="s">
        <v>45</v>
      </c>
      <c r="F23" s="305"/>
      <c r="G23" s="306"/>
      <c r="H23" s="304" t="s">
        <v>46</v>
      </c>
      <c r="I23" s="305"/>
      <c r="J23" s="306"/>
      <c r="K23" s="288"/>
      <c r="L23" s="304" t="s">
        <v>47</v>
      </c>
      <c r="M23" s="305"/>
      <c r="N23" s="306"/>
      <c r="O23" s="304" t="s">
        <v>45</v>
      </c>
      <c r="P23" s="305"/>
      <c r="Q23" s="306"/>
      <c r="R23" s="304" t="s">
        <v>46</v>
      </c>
      <c r="S23" s="305"/>
      <c r="T23" s="306"/>
      <c r="U23" s="304"/>
      <c r="V23" s="305"/>
      <c r="W23" s="306"/>
      <c r="X23" s="304"/>
      <c r="Y23" s="305"/>
      <c r="Z23" s="306"/>
      <c r="AA23" s="304"/>
      <c r="AB23" s="305"/>
      <c r="AC23" s="306"/>
      <c r="AD23" s="304"/>
      <c r="AE23" s="305"/>
      <c r="AF23" s="306"/>
      <c r="AG23" s="61" t="s">
        <v>48</v>
      </c>
      <c r="AH23" s="62">
        <v>1</v>
      </c>
      <c r="AI23" s="62">
        <v>2</v>
      </c>
      <c r="AJ23" s="62">
        <v>3</v>
      </c>
      <c r="AK23" s="62">
        <v>4</v>
      </c>
      <c r="AL23" s="62">
        <v>5</v>
      </c>
      <c r="AM23" s="62">
        <v>6</v>
      </c>
      <c r="AN23" s="62">
        <v>7</v>
      </c>
      <c r="AO23" s="62">
        <v>8</v>
      </c>
      <c r="AP23" s="62">
        <v>9</v>
      </c>
      <c r="AQ23" s="62">
        <v>10</v>
      </c>
      <c r="AR23" s="63" t="s">
        <v>49</v>
      </c>
      <c r="AT23" s="158"/>
      <c r="AU23" s="158"/>
    </row>
    <row r="24" spans="1:48" ht="15.6" x14ac:dyDescent="0.3">
      <c r="A24" s="11"/>
      <c r="B24" s="64">
        <v>2</v>
      </c>
      <c r="C24" s="65" t="s">
        <v>50</v>
      </c>
      <c r="D24" s="66">
        <v>3</v>
      </c>
      <c r="E24" s="64">
        <v>1</v>
      </c>
      <c r="F24" s="65" t="str">
        <f>IF(AL8&gt;1,"v","")</f>
        <v>v</v>
      </c>
      <c r="G24" s="66">
        <v>4</v>
      </c>
      <c r="H24" s="64">
        <v>2</v>
      </c>
      <c r="I24" s="65" t="str">
        <f>IF(AL8&gt;2,"v","")</f>
        <v>v</v>
      </c>
      <c r="J24" s="66">
        <v>4</v>
      </c>
      <c r="K24" s="288"/>
      <c r="L24" s="64">
        <v>1</v>
      </c>
      <c r="M24" s="65" t="str">
        <f>IF(AL8&gt;3,"v","")</f>
        <v>v</v>
      </c>
      <c r="N24" s="66">
        <v>3</v>
      </c>
      <c r="O24" s="64">
        <v>3</v>
      </c>
      <c r="P24" s="65" t="str">
        <f>IF(AL8&gt;4,"v","")</f>
        <v>v</v>
      </c>
      <c r="Q24" s="66">
        <v>4</v>
      </c>
      <c r="R24" s="64">
        <v>1</v>
      </c>
      <c r="S24" s="65" t="str">
        <f>IF(AL8&gt;5,"v","")</f>
        <v>v</v>
      </c>
      <c r="T24" s="66">
        <v>2</v>
      </c>
      <c r="U24" s="64"/>
      <c r="V24" s="65" t="str">
        <f>IF(AL8&gt;6,"v","")</f>
        <v/>
      </c>
      <c r="W24" s="66"/>
      <c r="X24" s="64"/>
      <c r="Y24" s="65" t="str">
        <f>IF(AL8&gt;7,"v","")</f>
        <v/>
      </c>
      <c r="Z24" s="66"/>
      <c r="AA24" s="64"/>
      <c r="AB24" s="65" t="str">
        <f>IF(AL8&gt;8,"v","")</f>
        <v/>
      </c>
      <c r="AC24" s="66"/>
      <c r="AD24" s="64"/>
      <c r="AE24" s="65" t="str">
        <f>IF(AL8&gt;9,"v","")</f>
        <v/>
      </c>
      <c r="AF24" s="66"/>
      <c r="AG24" s="67" t="str">
        <f>IF(AL9&gt;0,"Team 1","")</f>
        <v>Team 1</v>
      </c>
      <c r="AH24" s="68" t="str">
        <f>IF(AL9&lt;1,"",IF(AL8&lt;1,"",IF(B24=1,B30-D30,IF(D24=1,D30-B30,""))))</f>
        <v/>
      </c>
      <c r="AI24" s="68">
        <f>IF(AL9&lt;1,"",IF(AL8&lt;2,"",IF(E24=1,E30-G30,IF(G24=1,G30-E30,""))))</f>
        <v>9</v>
      </c>
      <c r="AJ24" s="68" t="str">
        <f>IF(AL9&lt;1,"",IF(AL8&lt;3,"",IF(H24=1,H30-J30,IF(J24=1,J30-H30,""))))</f>
        <v/>
      </c>
      <c r="AK24" s="68">
        <f>IF(AL9&lt;1,"",IF(AL8&lt;4,"",IF(L24=1,L30-N30,IF(N24=1,N30-L30,""))))</f>
        <v>-10</v>
      </c>
      <c r="AL24" s="68" t="str">
        <f>IF(AL9&lt;1,"",IF(AL8&lt;5,"",IF(O24=1,O30-Q30,IF(Q24=1,Q30-O30,""))))</f>
        <v/>
      </c>
      <c r="AM24" s="68">
        <f>IF(AL9&lt;1,"",IF(AL8&lt;6,"",IF(R24=1,R30-T30,IF(T24=1,T30-R30,""))))</f>
        <v>3</v>
      </c>
      <c r="AN24" s="68" t="str">
        <f>IF(AL9&lt;1,"",IF(AL8&lt;7,"",IF(U24=1,U30-W30,IF(W24=1,W30-U30,""))))</f>
        <v/>
      </c>
      <c r="AO24" s="68" t="str">
        <f>IF(AL9&lt;1,"",IF(AL8&lt;8,"",IF(X24=1,X30-Z30,IF(Z24=1,Z30-X30,""))))</f>
        <v/>
      </c>
      <c r="AP24" s="68" t="str">
        <f>IF(AL9&lt;1,"",IF(AL8&lt;9,"",IF(AA24=1,AA30-AC30,IF(AC24=1,AC30-AA30,""))))</f>
        <v/>
      </c>
      <c r="AQ24" s="68" t="str">
        <f>IF(AL9&lt;1,"",IF(AL8&lt;10,"",IF(AD24=1,AD30-AF30,IF(AF24=1,AF30-AD30,""))))</f>
        <v/>
      </c>
      <c r="AR24" s="63">
        <f>SUM(AH24:AQ24)</f>
        <v>2</v>
      </c>
      <c r="AT24" s="158"/>
      <c r="AU24" s="158"/>
    </row>
    <row r="25" spans="1:48" ht="15" x14ac:dyDescent="0.25">
      <c r="A25" t="s">
        <v>51</v>
      </c>
      <c r="B25" s="69">
        <v>25</v>
      </c>
      <c r="C25" s="70" t="s">
        <v>52</v>
      </c>
      <c r="D25" s="71">
        <v>31</v>
      </c>
      <c r="E25" s="69">
        <v>31</v>
      </c>
      <c r="F25" s="70" t="str">
        <f>IF(AL8&gt;1,"/","")</f>
        <v>/</v>
      </c>
      <c r="G25" s="71">
        <v>22</v>
      </c>
      <c r="H25" s="69">
        <v>34</v>
      </c>
      <c r="I25" s="70" t="str">
        <f>IF(AL8&gt;2,"/","")</f>
        <v>/</v>
      </c>
      <c r="J25" s="71">
        <v>21</v>
      </c>
      <c r="K25" s="288"/>
      <c r="L25" s="69">
        <v>22</v>
      </c>
      <c r="M25" s="70" t="str">
        <f>IF(AL8&gt;3,"/","")</f>
        <v>/</v>
      </c>
      <c r="N25" s="71">
        <v>32</v>
      </c>
      <c r="O25" s="69">
        <v>37</v>
      </c>
      <c r="P25" s="70" t="str">
        <f>IF(AL8&gt;4,"/","")</f>
        <v>/</v>
      </c>
      <c r="Q25" s="71">
        <v>22</v>
      </c>
      <c r="R25" s="69">
        <v>26</v>
      </c>
      <c r="S25" s="70" t="str">
        <f>IF(AL8&gt;5,"/","")</f>
        <v>/</v>
      </c>
      <c r="T25" s="71">
        <v>23</v>
      </c>
      <c r="U25" s="69"/>
      <c r="V25" s="70" t="str">
        <f>IF(AL8&gt;6,"/","")</f>
        <v/>
      </c>
      <c r="W25" s="71"/>
      <c r="X25" s="69"/>
      <c r="Y25" s="70" t="str">
        <f>IF(AL8&gt;7,"/","")</f>
        <v/>
      </c>
      <c r="Z25" s="71"/>
      <c r="AA25" s="69"/>
      <c r="AB25" s="70" t="str">
        <f>IF(AL8&gt;8,"/","")</f>
        <v/>
      </c>
      <c r="AC25" s="71"/>
      <c r="AD25" s="69"/>
      <c r="AE25" s="70" t="str">
        <f>IF(AL8&gt;9,"/","")</f>
        <v/>
      </c>
      <c r="AF25" s="71"/>
      <c r="AG25" s="67" t="str">
        <f>IF(AL9&gt;1,"Team 2","")</f>
        <v>Team 2</v>
      </c>
      <c r="AH25" s="68">
        <f>IF(AL9&lt;2,"",IF(AL8&lt;1,"",IF(B24=2,B30-D30,IF(D24=2,D30-B30,""))))</f>
        <v>-6</v>
      </c>
      <c r="AI25" s="68" t="str">
        <f>IF(AL9&lt;2,"",IF(AL8&lt;2,"",IF(E24=2,E30-G30,IF(G24=2,G30-E30,""))))</f>
        <v/>
      </c>
      <c r="AJ25" s="68">
        <f>IF(AL9&lt;2,"",IF(AL8&lt;3,"",IF(H24=2,H30-J30,IF(J24=2,J30-H30,""))))</f>
        <v>13</v>
      </c>
      <c r="AK25" s="68" t="str">
        <f>IF(AL9&lt;2,"",IF(AL8&lt;4,"",IF(L24=2,L30-N30,IF(N24=2,N30-L30,""))))</f>
        <v/>
      </c>
      <c r="AL25" s="68" t="str">
        <f>IF(AL9&lt;2,"",IF(AL8&lt;5,"",IF(O24=2,O30-Q30,IF(Q24=2,Q30-O30,""))))</f>
        <v/>
      </c>
      <c r="AM25" s="68">
        <f>IF(AL9&lt;2,"",IF(AL8&lt;6,"",IF(R24=2,R30-T30,IF(T24=2,T30-R30,""))))</f>
        <v>-3</v>
      </c>
      <c r="AN25" s="68" t="str">
        <f>IF(AL9&lt;2,"",IF(AL8&lt;7,"",IF(U24=2,U30-W30,IF(W24=2,W30-U30,""))))</f>
        <v/>
      </c>
      <c r="AO25" s="68" t="str">
        <f>IF(AL9&lt;2,"",IF(AL8&lt;8,"",IF(X24=2,X30-Z30,IF(Z24=2,Z30-X30,""))))</f>
        <v/>
      </c>
      <c r="AP25" s="68" t="str">
        <f>IF(AL9&lt;2,"",IF(AL8&lt;9,"",IF(AA24=2,AA30-AC30,IF(AC24=2,AC30-AA30,""))))</f>
        <v/>
      </c>
      <c r="AQ25" s="68" t="str">
        <f>IF(AL9&lt;2,"",IF(AL8&lt;10,"",IF(AD24=2,AD30-AF30,IF(AF24=2,AF30-AD30,""))))</f>
        <v/>
      </c>
      <c r="AR25" s="63">
        <f>SUM(AH25:AQ25)</f>
        <v>4</v>
      </c>
    </row>
    <row r="26" spans="1:48" ht="15" x14ac:dyDescent="0.25">
      <c r="A26" s="3" t="str">
        <f>IF(AL7&gt;1,"Game 2","")</f>
        <v/>
      </c>
      <c r="B26" s="69"/>
      <c r="C26" s="70" t="s">
        <v>52</v>
      </c>
      <c r="D26" s="71"/>
      <c r="E26" s="69"/>
      <c r="F26" s="70" t="str">
        <f>IF(AL8&gt;1,IF(AL7&gt;1,"/",""),"")</f>
        <v/>
      </c>
      <c r="G26" s="71"/>
      <c r="H26" s="69"/>
      <c r="I26" s="70" t="str">
        <f>IF(AL8&gt;2,IF(AL7&gt;1,"/",""),"")</f>
        <v/>
      </c>
      <c r="J26" s="71"/>
      <c r="K26" s="288"/>
      <c r="L26" s="69"/>
      <c r="M26" s="70" t="str">
        <f>IF(AL8&gt;3,IF(AL7&gt;1,"/",""),"")</f>
        <v/>
      </c>
      <c r="N26" s="71"/>
      <c r="O26" s="69"/>
      <c r="P26" s="70" t="str">
        <f>IF(AL8&gt;4,IF(AL7&gt;1,"/",""),"")</f>
        <v/>
      </c>
      <c r="Q26" s="71"/>
      <c r="R26" s="69"/>
      <c r="S26" s="70" t="str">
        <f>IF(AL8&gt;5,IF(AL7&gt;1,"/",""),"")</f>
        <v/>
      </c>
      <c r="T26" s="71"/>
      <c r="U26" s="69"/>
      <c r="V26" s="70" t="str">
        <f>IF(AL8&gt;6,IF(AL7&gt;1,"/",""),"")</f>
        <v/>
      </c>
      <c r="W26" s="71"/>
      <c r="X26" s="69"/>
      <c r="Y26" s="70" t="str">
        <f>IF(AL8&gt;7,IF(AL7&gt;1,"/",""),"")</f>
        <v/>
      </c>
      <c r="Z26" s="71"/>
      <c r="AA26" s="69"/>
      <c r="AB26" s="70" t="str">
        <f>IF(AL8&gt;8,IF(AL7&gt;1,"/",""),"")</f>
        <v/>
      </c>
      <c r="AC26" s="71"/>
      <c r="AD26" s="69"/>
      <c r="AE26" s="70" t="str">
        <f>IF(AL8&gt;9,IF(AL7&gt;1,"/",""),"")</f>
        <v/>
      </c>
      <c r="AF26" s="71"/>
      <c r="AG26" s="67" t="str">
        <f>IF(AL9&gt;2,"Team 3","")</f>
        <v>Team 3</v>
      </c>
      <c r="AH26" s="68">
        <f>IF(AL9&lt;3,"",IF(AL8&lt;1,"",IF(B24=3,B30-D30,IF(D24=3,D30-B30,""))))</f>
        <v>6</v>
      </c>
      <c r="AI26" s="68" t="str">
        <f>IF(AL9&lt;3,"",IF(AL8&lt;2,"",IF(E24=3,E30-G30,IF(G24=3,G30-E30,""))))</f>
        <v/>
      </c>
      <c r="AJ26" s="68" t="str">
        <f>IF(AL9&lt;3,"",IF(AL8&lt;3,"",IF(H24=3,H30-J30,IF(J24=3,J30-H30,""))))</f>
        <v/>
      </c>
      <c r="AK26" s="68">
        <f>IF(AL9&lt;3,"",IF(AL8&lt;4,"",IF(L24=3,L30-N30,IF(N24=3,N30-L30,""))))</f>
        <v>10</v>
      </c>
      <c r="AL26" s="68">
        <f>IF(AL9&lt;3,"",IF(AL8&lt;5,"",IF(O24=3,O30-Q30,IF(Q24=3,Q30-O30,""))))</f>
        <v>15</v>
      </c>
      <c r="AM26" s="68" t="str">
        <f>IF(AL9&lt;3,"",IF(AL8&lt;6,"",IF(R24=3,R30-T30,IF(T24=3,T30-R30,""))))</f>
        <v/>
      </c>
      <c r="AN26" s="68" t="str">
        <f>IF(AL9&lt;3,"",IF(AL8&lt;7,"",IF(U24=3,U30-W30,IF(W24=3,W30-U30,""))))</f>
        <v/>
      </c>
      <c r="AO26" s="68" t="str">
        <f>IF(AL9&lt;3,"",IF(AL8&lt;8,"",IF(X24=3,X30-Z30,IF(Z24=3,Z30-X30,""))))</f>
        <v/>
      </c>
      <c r="AP26" s="68" t="str">
        <f>IF(AL9&lt;3,"",IF(AL8&lt;9,"",IF(AA24=3,AA30-AC30,IF(AC24=3,AC30-AA30,""))))</f>
        <v/>
      </c>
      <c r="AQ26" s="68" t="str">
        <f>IF(AL9&lt;3,"",IF(AL8&lt;9,"",IF(AD24=3,AD30-AF30,IF(AF24=3,AF30-AD30,""))))</f>
        <v/>
      </c>
      <c r="AR26" s="63">
        <f>SUM(AH26:AQ26)</f>
        <v>31</v>
      </c>
    </row>
    <row r="27" spans="1:48" ht="15" x14ac:dyDescent="0.25">
      <c r="A27" s="3" t="str">
        <f>IF(AL7&gt;2,"Game 3","")</f>
        <v/>
      </c>
      <c r="B27" s="69"/>
      <c r="C27" s="70" t="s">
        <v>52</v>
      </c>
      <c r="D27" s="71"/>
      <c r="E27" s="69"/>
      <c r="F27" s="70" t="str">
        <f>IF(AL8&gt;1,IF(AL7&gt;2,"/",""),"")</f>
        <v/>
      </c>
      <c r="G27" s="71"/>
      <c r="H27" s="69"/>
      <c r="I27" s="70" t="str">
        <f>IF(AL8&gt;2,IF(AL7&gt;2,"/",""),"")</f>
        <v/>
      </c>
      <c r="J27" s="71"/>
      <c r="K27" s="288"/>
      <c r="L27" s="69"/>
      <c r="M27" s="70" t="str">
        <f>IF(AL8&gt;3,IF(AL7&gt;2,"/",""),"")</f>
        <v/>
      </c>
      <c r="N27" s="71"/>
      <c r="O27" s="69"/>
      <c r="P27" s="70" t="str">
        <f>IF(AL8&gt;4,IF(AL7&gt;2,"/",""),"")</f>
        <v/>
      </c>
      <c r="Q27" s="71"/>
      <c r="R27" s="69"/>
      <c r="S27" s="70" t="str">
        <f>IF(AL8&gt;5,IF(AL7&gt;2,"/",""),"")</f>
        <v/>
      </c>
      <c r="T27" s="71"/>
      <c r="U27" s="69"/>
      <c r="V27" s="70" t="str">
        <f>IF(AL8&gt;6,IF(AL7&gt;2,"/",""),"")</f>
        <v/>
      </c>
      <c r="W27" s="71"/>
      <c r="X27" s="69"/>
      <c r="Y27" s="70" t="str">
        <f>IF(AL8&gt;7,IF(AL7&gt;2,"/",""),"")</f>
        <v/>
      </c>
      <c r="Z27" s="71"/>
      <c r="AA27" s="69"/>
      <c r="AB27" s="70" t="str">
        <f>IF(AL8&gt;8,IF(AL7&gt;2,"/",""),"")</f>
        <v/>
      </c>
      <c r="AC27" s="71"/>
      <c r="AD27" s="69"/>
      <c r="AE27" s="70" t="str">
        <f>IF(AL8&gt;9,IF(AL7&gt;2,"/",""),"")</f>
        <v/>
      </c>
      <c r="AF27" s="71"/>
      <c r="AG27" s="67" t="str">
        <f>IF(AL9&gt;3,"Team 4","")</f>
        <v>Team 4</v>
      </c>
      <c r="AH27" s="68" t="str">
        <f>IF(AL9&lt;4,"",IF(AL8&lt;1,"",IF(B24=4,B30-D30,IF(D24=4,D30-B30,""))))</f>
        <v/>
      </c>
      <c r="AI27" s="68">
        <f>IF(AL9&lt;4,"",IF(AL8&lt;2,"",IF(E24=4,E30-G30,IF(G24=4,G30-E30,""))))</f>
        <v>-9</v>
      </c>
      <c r="AJ27" s="68">
        <f>IF(AL9&lt;4,"",IF(AL8&lt;3,"",IF(H24=4,H30-J30,IF(J24=4,J30-H30,""))))</f>
        <v>-13</v>
      </c>
      <c r="AK27" s="68" t="str">
        <f>IF(AL9&lt;4,"",IF(AL8&lt;4,"",IF(L24=4,L30-N30,IF(N24=4,N30-L30,""))))</f>
        <v/>
      </c>
      <c r="AL27" s="68">
        <f>IF(AL9&lt;4,"",IF(AL8&lt;5,"",IF(O24=4,O30-Q30,IF(Q24=4,Q30-O30,""))))</f>
        <v>-15</v>
      </c>
      <c r="AM27" s="68" t="str">
        <f>IF(AL9&lt;4,"",IF(AL8&lt;6,"",IF(R24=4,R30-T30,IF(T24=4,T30-R30,""))))</f>
        <v/>
      </c>
      <c r="AN27" s="68" t="str">
        <f>IF(AL9&lt;4,"",IF(AL8&lt;7,"",IF(U24=4,U30-W30,IF(W24=4,W30-U30,""))))</f>
        <v/>
      </c>
      <c r="AO27" s="68" t="str">
        <f>IF(AL9&lt;4,"",IF(AL8&lt;8,"",IF(X24=4,X30-Z30,IF(Z24=4,Z30-X30,""))))</f>
        <v/>
      </c>
      <c r="AP27" s="68" t="str">
        <f>IF(AL9&lt;4,"",IF(AL8&lt;9,"",IF(AA24=4,AA30-AC30,IF(AC24=4,AC30-AA30,""))))</f>
        <v/>
      </c>
      <c r="AQ27" s="68" t="str">
        <f>IF(AL9&lt;4,"",IF(AL8&lt;10,"",IF(AD24=4,AD30-AF30,IF(AF24=4,AF30-AD30,""))))</f>
        <v/>
      </c>
      <c r="AR27" s="63">
        <f>SUM(AH27:AQ27)</f>
        <v>-37</v>
      </c>
    </row>
    <row r="28" spans="1:48" ht="15" x14ac:dyDescent="0.25">
      <c r="A28" s="3" t="str">
        <f>IF(AL7&gt;3,"Game 4","")</f>
        <v/>
      </c>
      <c r="B28" s="69"/>
      <c r="C28" s="70" t="s">
        <v>52</v>
      </c>
      <c r="D28" s="71"/>
      <c r="E28" s="69"/>
      <c r="F28" s="70" t="str">
        <f>IF(AL8&gt;1,IF(AL7&gt;3,"/",""),"")</f>
        <v/>
      </c>
      <c r="G28" s="71"/>
      <c r="H28" s="69"/>
      <c r="I28" s="70" t="str">
        <f>IF(AL8&gt;2,IF(AL7&gt;3,"/",""),"")</f>
        <v/>
      </c>
      <c r="J28" s="71"/>
      <c r="K28" s="288"/>
      <c r="L28" s="69"/>
      <c r="M28" s="70" t="str">
        <f>IF(AL8&gt;3,IF(AL7&gt;3,"/",""),"")</f>
        <v/>
      </c>
      <c r="N28" s="71"/>
      <c r="O28" s="69"/>
      <c r="P28" s="70" t="str">
        <f>IF(AL8&gt;4,IF(AL7&gt;3,"/",""),"")</f>
        <v/>
      </c>
      <c r="Q28" s="71"/>
      <c r="R28" s="69"/>
      <c r="S28" s="70" t="str">
        <f>IF(AL8&gt;5,IF(AL7&gt;3,"/",""),"")</f>
        <v/>
      </c>
      <c r="T28" s="71"/>
      <c r="U28" s="69"/>
      <c r="V28" s="70" t="str">
        <f>IF(AL8&gt;6,IF(AL7&gt;3,"/",""),"")</f>
        <v/>
      </c>
      <c r="W28" s="71"/>
      <c r="X28" s="69"/>
      <c r="Y28" s="70" t="str">
        <f>IF(AL8&gt;7,IF(AL7&gt;3,"/",""),"")</f>
        <v/>
      </c>
      <c r="Z28" s="71"/>
      <c r="AA28" s="69"/>
      <c r="AB28" s="70" t="str">
        <f>IF(AL8&gt;8,IF(AL7&gt;3,"/",""),"")</f>
        <v/>
      </c>
      <c r="AC28" s="71"/>
      <c r="AD28" s="69"/>
      <c r="AE28" s="70" t="str">
        <f>IF(AL8&gt;9,IF(AL7&gt;3,"/",""),"")</f>
        <v/>
      </c>
      <c r="AF28" s="71"/>
      <c r="AG28" s="67" t="str">
        <f>IF(AL9&gt;4,"Team 5","")</f>
        <v/>
      </c>
      <c r="AH28" s="72" t="str">
        <f>IF(AL9&lt;5,"",IF(AL8&lt;1,"",IF(B24=5,B30-D30,IF(D24=5,D30-B30,""))))</f>
        <v/>
      </c>
      <c r="AI28" s="68" t="str">
        <f>IF(AL9&lt;5,"",IF(AL8&lt;2,"",IF(E24=5,E30-G30,IF(G24=5,G30-E30,""))))</f>
        <v/>
      </c>
      <c r="AJ28" s="68" t="str">
        <f>IF(AL9&lt;5,"",IF(AL8&lt;3,"",IF(H24=5,H30-J30,IF(J24=5,J30-H30,""))))</f>
        <v/>
      </c>
      <c r="AK28" s="68" t="str">
        <f>IF(AL9&lt;5,"",IF(AL8&lt;4,"",IF(L24=5,L30-N30,IF(N24=5,N30-L30,""))))</f>
        <v/>
      </c>
      <c r="AL28" s="68" t="str">
        <f>IF(AL9&lt;5,"",IF(AL8&lt;5,"",IF(O24=5,O30-Q30,IF(Q24=5,Q30-O30,""))))</f>
        <v/>
      </c>
      <c r="AM28" s="68" t="str">
        <f>IF(AL9&lt;5,"",IF(AL8&lt;6,"",IF(R24=5,R30-T30,IF(T24=5,T30-R30,""))))</f>
        <v/>
      </c>
      <c r="AN28" s="68" t="str">
        <f>IF(AL9&lt;5,"",IF(AL8&lt;7,"",IF(U24=5,U30-W30,IF(W24=5,W30-U30,""))))</f>
        <v/>
      </c>
      <c r="AO28" s="68" t="str">
        <f>IF(AL9&lt;5,"",IF(AL8&lt;8,"",IF(X24=5,X30-Z30,IF(Z24=5,Z30-X30,""))))</f>
        <v/>
      </c>
      <c r="AP28" s="68" t="str">
        <f>IF(AL9&lt;5,"",IF(AL8&lt;9,"",IF(AA24=5,AA30-AC30,IF(AC24=5,AC30-AA30,""))))</f>
        <v/>
      </c>
      <c r="AQ28" s="68" t="str">
        <f>IF(AL9&lt;5,"",IF(AL8&lt;10,"",IF(AD24=5,AD30-AF30,IF(AF24=5,AF30-AD30,""))))</f>
        <v/>
      </c>
      <c r="AR28" s="63">
        <f>SUM(AH28:AQ28)</f>
        <v>0</v>
      </c>
    </row>
    <row r="29" spans="1:48" ht="15" x14ac:dyDescent="0.25">
      <c r="A29" s="3" t="str">
        <f>IF(AL7&gt;4,"Game 5","")</f>
        <v/>
      </c>
      <c r="B29" s="69"/>
      <c r="C29" s="70" t="s">
        <v>52</v>
      </c>
      <c r="D29" s="71"/>
      <c r="E29" s="69"/>
      <c r="F29" s="70" t="str">
        <f>IF(AL8&gt;1,IF(AL7&gt;4,"/",""),"")</f>
        <v/>
      </c>
      <c r="G29" s="71"/>
      <c r="H29" s="69"/>
      <c r="I29" s="70" t="str">
        <f>IF(AL8&gt;2,IF(AL7&gt;4,"/",""),"")</f>
        <v/>
      </c>
      <c r="J29" s="71"/>
      <c r="K29" s="289"/>
      <c r="L29" s="69"/>
      <c r="M29" s="70" t="str">
        <f>IF(AL8&gt;3,IF(AL7&gt;4,"/",""),"")</f>
        <v/>
      </c>
      <c r="N29" s="71"/>
      <c r="O29" s="69"/>
      <c r="P29" s="70" t="str">
        <f>IF(AL8&gt;4,IF(AL7&gt;4,"/",""),"")</f>
        <v/>
      </c>
      <c r="Q29" s="71"/>
      <c r="R29" s="69"/>
      <c r="S29" s="70" t="str">
        <f>IF(AL8&gt;5,IF(AL7&gt;4,"/",""),"")</f>
        <v/>
      </c>
      <c r="T29" s="71"/>
      <c r="U29" s="69"/>
      <c r="V29" s="70" t="str">
        <f>IF(AL8&gt;6,IF(AL7&gt;4,"/",""),"")</f>
        <v/>
      </c>
      <c r="W29" s="71"/>
      <c r="X29" s="69"/>
      <c r="Y29" s="70" t="str">
        <f>IF(AL8&gt;7,IF(AL7&gt;4,"/",""),"")</f>
        <v/>
      </c>
      <c r="Z29" s="71"/>
      <c r="AA29" s="69"/>
      <c r="AB29" s="70" t="str">
        <f>IF(AL8&gt;8,IF(AL7&gt;4,"/",""),"")</f>
        <v/>
      </c>
      <c r="AC29" s="71"/>
      <c r="AD29" s="69"/>
      <c r="AE29" s="70" t="str">
        <f>IF(AL8&gt;9,IF(AL7&gt;4,"/",""),"")</f>
        <v/>
      </c>
      <c r="AF29" s="7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</row>
    <row r="30" spans="1:48" hidden="1" x14ac:dyDescent="0.25">
      <c r="A30" s="73"/>
      <c r="B30" s="73">
        <f>IF($AL7=5,SUM(B25:B29),IF($AL7=4,SUM(B25:B28),IF($AL7=3,SUM(B25:B27),IF($AL7=2,SUM(B25:B26),B25))))</f>
        <v>25</v>
      </c>
      <c r="C30" s="73"/>
      <c r="D30" s="73">
        <f>IF($AL7=5,SUM(D25:D29),IF($AL7=4,SUM(D25:D28),IF($AL7=3,SUM(D25:D27),IF($AL7=2,SUM(D25:D26),D25))))</f>
        <v>31</v>
      </c>
      <c r="E30" s="73">
        <f>IF($AL7=5,SUM(E25:E29),IF($AL7=4,SUM(E25:E28),IF($AL7=3,SUM(E25:E27),IF($AL7=2,SUM(E25:E26),E25))))</f>
        <v>31</v>
      </c>
      <c r="F30" s="73"/>
      <c r="G30" s="73">
        <f>IF($AL7=5,SUM(G25:G29),IF($AL7=4,SUM(G25:G28),IF($AL7=3,SUM(G25:G27),IF($AL7=2,SUM(G25:G26),G25))))</f>
        <v>22</v>
      </c>
      <c r="H30" s="73">
        <f>IF($AL7=5,SUM(H25:H29),IF($AL7=4,SUM(H25:H28),IF($AL7=3,SUM(H25:H27),IF($AL7=2,SUM(H25:H26),H25))))</f>
        <v>34</v>
      </c>
      <c r="I30" s="73"/>
      <c r="J30" s="73">
        <f>IF($AL7=5,SUM(J25:J29),IF($AL7=4,SUM(J25:J28),IF($AL7=3,SUM(J25:J27),IF($AL7=2,SUM(J25:J26),J25))))</f>
        <v>21</v>
      </c>
      <c r="K30" s="73"/>
      <c r="L30" s="73">
        <f>IF($AL7=5,SUM(L25:L29),IF($AL7=4,SUM(L25:L28),IF($AL7=3,SUM(L25:L27),IF($AL7=2,SUM(L25:L26),L25))))</f>
        <v>22</v>
      </c>
      <c r="M30" s="73"/>
      <c r="N30" s="73">
        <f>IF($AL7=5,SUM(N25:N29),IF($AL7=4,SUM(N25:N28),IF($AL7=3,SUM(N25:N27),IF($AL7=2,SUM(N25:N26),N25))))</f>
        <v>32</v>
      </c>
      <c r="O30" s="73">
        <f>IF($AL7=5,SUM(O25:O29),IF($AL7=4,SUM(O25:O28),IF($AL7=3,SUM(O25:O27),IF($AL7=2,SUM(O25:O26),O25))))</f>
        <v>37</v>
      </c>
      <c r="P30" s="73"/>
      <c r="Q30" s="73">
        <f>IF($AL7=5,SUM(Q25:Q29),IF($AL7=4,SUM(Q25:Q28),IF($AL7=3,SUM(Q25:Q27),IF($AL7=2,SUM(Q25:Q26),Q25))))</f>
        <v>22</v>
      </c>
      <c r="R30" s="73">
        <f>IF($AL7=5,SUM(R25:R29),IF($AL7=4,SUM(R25:R28),IF($AL7=3,SUM(R25:R27),IF($AL7=2,SUM(R25:R26),R25))))</f>
        <v>26</v>
      </c>
      <c r="S30" s="73"/>
      <c r="T30" s="73">
        <f>IF($AL7=5,SUM(T25:T29),IF($AL7=4,SUM(T25:T28),IF($AL7=3,SUM(T25:T27),IF($AL7=2,SUM(T25:T26),T25))))</f>
        <v>23</v>
      </c>
      <c r="U30" s="73">
        <f>IF($AL7=5,SUM(U25:U29),IF($AL7=4,SUM(U25:U28),IF($AL7=3,SUM(U25:U27),IF($AL7=2,SUM(U25:U26),U25))))</f>
        <v>0</v>
      </c>
      <c r="V30" s="73"/>
      <c r="W30" s="73">
        <f>IF($AL7=5,SUM(W25:W29),IF($AL7=4,SUM(W25:W28),IF($AL7=3,SUM(W25:W27),IF($AL7=2,SUM(W25:W26),W25))))</f>
        <v>0</v>
      </c>
      <c r="X30" s="73">
        <f>IF($AL7=5,SUM(X25:X29),IF($AL7=4,SUM(X25:X28),IF($AL7=3,SUM(X25:X27),IF($AL7=2,SUM(X25:X26),X25))))</f>
        <v>0</v>
      </c>
      <c r="Y30" s="73"/>
      <c r="Z30" s="73">
        <f>IF($AL7=5,SUM(Z25:Z29),IF($AL7=4,SUM(Z25:Z28),IF($AL7=3,SUM(Z25:Z27),IF($AL7=2,SUM(Z25:Z26),Z25))))</f>
        <v>0</v>
      </c>
      <c r="AA30" s="73">
        <f>IF($AL7=5,SUM(AA25:AA29),IF($AL7=4,SUM(AA25:AA28),IF($AL7=3,SUM(AA25:AA27),IF($AL7=2,SUM(AA25:AA26),AA25))))</f>
        <v>0</v>
      </c>
      <c r="AB30" s="73"/>
      <c r="AC30" s="73">
        <f>IF($AL7=5,SUM(AC25:AC29),IF($AL7=4,SUM(AC25:AC28),IF($AL7=3,SUM(AC25:AC27),IF($AL7=2,SUM(AC25:AC26),AC25))))</f>
        <v>0</v>
      </c>
      <c r="AD30" s="73">
        <f>IF($AL7=5,SUM(AD25:AD29),IF($AL7=4,SUM(AD25:AD28),IF($AL7=3,SUM(AD25:AD27),IF($AL7=2,SUM(AD25:AD26),AD25))))</f>
        <v>0</v>
      </c>
      <c r="AE30" s="73"/>
      <c r="AF30" s="73">
        <f>IF($AL7=5,SUM(AF25:AF29),IF($AL7=4,SUM(AF25:AF28),IF($AL7=3,SUM(AF25:AF27),IF($AL7=2,SUM(AF25:AF26),AF25))))</f>
        <v>0</v>
      </c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</row>
    <row r="31" spans="1:48" s="74" customFormat="1" ht="12.75" hidden="1" customHeight="1" x14ac:dyDescent="0.25">
      <c r="A31" s="74" t="s">
        <v>53</v>
      </c>
      <c r="B31" s="75">
        <f>IF(AND(B25&gt;D25,$AL8&gt;0,ISNUMBER(B25),ISNUMBER(D25)),1,0)</f>
        <v>0</v>
      </c>
      <c r="C31" s="75"/>
      <c r="D31" s="76">
        <f>IF(AND(D25&gt;B25,$AL8&gt;0,ISNUMBER(B25),ISNUMBER(D25)),1,0)</f>
        <v>1</v>
      </c>
      <c r="E31" s="75">
        <f>IF(AND(E25&gt;G25,$AL8&gt;1,ISNUMBER(E25),ISNUMBER(G25)),1,0)</f>
        <v>1</v>
      </c>
      <c r="F31" s="75"/>
      <c r="G31" s="76">
        <f>IF(AND(G25&gt;E25,$AL8&gt;1,ISNUMBER(E25),ISNUMBER(G25)),1,0)</f>
        <v>0</v>
      </c>
      <c r="H31" s="75">
        <f>IF(AND(H25&gt;J25,$AL8&gt;2,ISNUMBER(H25),ISNUMBER(J25)),1,0)</f>
        <v>1</v>
      </c>
      <c r="I31" s="75"/>
      <c r="J31" s="76">
        <f>IF(AND(J25&gt;H25,$AL8&gt;2,ISNUMBER(H25),ISNUMBER(J25)),1,0)</f>
        <v>0</v>
      </c>
      <c r="K31" s="77"/>
      <c r="L31" s="75">
        <f>IF(AND(L25&gt;N25,$AL8&gt;3,ISNUMBER(L25),ISNUMBER(N25)),1,0)</f>
        <v>0</v>
      </c>
      <c r="M31" s="75"/>
      <c r="N31" s="76">
        <f>IF(AND(N25&gt;L25,$AL8&gt;3,ISNUMBER(L25),ISNUMBER(N25)),1,0)</f>
        <v>1</v>
      </c>
      <c r="O31" s="75">
        <f>IF(AND(O25&gt;Q25,$AL8&gt;4,ISNUMBER(O25),ISNUMBER(Q25)),1,0)</f>
        <v>1</v>
      </c>
      <c r="P31" s="75"/>
      <c r="Q31" s="76">
        <f>IF(AND(Q25&gt;O25,$AL8&gt;4,ISNUMBER(O25),ISNUMBER(Q25)),1,0)</f>
        <v>0</v>
      </c>
      <c r="R31" s="75">
        <f>IF(AND(R25&gt;T25,$AL8&gt;5,ISNUMBER(R25),ISNUMBER(T25)),1,0)</f>
        <v>1</v>
      </c>
      <c r="S31" s="75"/>
      <c r="T31" s="76">
        <f>IF(AND(T25&gt;R25,$AL8&gt;5,ISNUMBER(R25),ISNUMBER(T25)),1,0)</f>
        <v>0</v>
      </c>
      <c r="U31" s="75">
        <f>IF(AND(U25&gt;W25,$AL8&gt;6,ISNUMBER(U25),ISNUMBER(W25)),1,0)</f>
        <v>0</v>
      </c>
      <c r="V31" s="75"/>
      <c r="W31" s="76">
        <f>IF(AND(W25&gt;U25,$AL8&gt;6,ISNUMBER(U25),ISNUMBER(W25)),1,0)</f>
        <v>0</v>
      </c>
      <c r="X31" s="75">
        <f>IF(AND(X25&gt;Z25,$AL8&gt;7,ISNUMBER(X25),ISNUMBER(Z25)),1,0)</f>
        <v>0</v>
      </c>
      <c r="Y31" s="75"/>
      <c r="Z31" s="76">
        <f>IF(AND(Z25&gt;X25,$AL8&gt;7,ISNUMBER(X25),ISNUMBER(Z25)),1,0)</f>
        <v>0</v>
      </c>
      <c r="AA31" s="75">
        <f>IF(AND(AA25&gt;AC25,$AL8&gt;8,ISNUMBER(AA25),ISNUMBER(AC25)),1,0)</f>
        <v>0</v>
      </c>
      <c r="AB31" s="75"/>
      <c r="AC31" s="76">
        <f>IF(AND(AC25&gt;AA25,$AL8&gt;8,ISNUMBER(AA25),ISNUMBER(AC25)),1,0)</f>
        <v>0</v>
      </c>
      <c r="AD31" s="75">
        <f>IF(AND(AD25&gt;AF25,$AL8&gt;9,ISNUMBER(AD25),ISNUMBER(AF25)),1,0)</f>
        <v>0</v>
      </c>
      <c r="AE31" s="75"/>
      <c r="AF31" s="76">
        <f>IF(AND(AF25&gt;AD25,$AL8&gt;9,ISNUMBER(AD25),ISNUMBER(AF25)),1,0)</f>
        <v>0</v>
      </c>
    </row>
    <row r="32" spans="1:48" s="74" customFormat="1" ht="12.75" hidden="1" customHeight="1" x14ac:dyDescent="0.25">
      <c r="A32" s="74" t="s">
        <v>54</v>
      </c>
      <c r="B32" s="75">
        <f>IF(AND(B26&gt;D26,$AL8&gt;0,$AL7&gt;1,ISNUMBER(B26),ISNUMBER(D26)),1,0)</f>
        <v>0</v>
      </c>
      <c r="C32" s="75"/>
      <c r="D32" s="76">
        <f>IF(AND(D26&gt;B26,$AL8&gt;0,$AL7&gt;1,ISNUMBER(B26),ISNUMBER(D26)),1,0)</f>
        <v>0</v>
      </c>
      <c r="E32" s="75">
        <f>IF(AND(E26&gt;G26,$AL8&gt;1,$AL7&gt;1,ISNUMBER(E26),ISNUMBER(G26)),1,0)</f>
        <v>0</v>
      </c>
      <c r="F32" s="75"/>
      <c r="G32" s="76">
        <f>IF(AND(G26&gt;E26,$AL8&gt;1,$AL7&gt;1,ISNUMBER(E26),ISNUMBER(G26)),1,0)</f>
        <v>0</v>
      </c>
      <c r="H32" s="75">
        <f>IF(AND(H26&gt;J26,$AL8&gt;2,$AL7&gt;1,ISNUMBER(H26),ISNUMBER(J26)),1,0)</f>
        <v>0</v>
      </c>
      <c r="I32" s="75"/>
      <c r="J32" s="76">
        <f>IF(AND(J26&gt;H26,$AL8&gt;2,$AL7&gt;1,ISNUMBER(H26),ISNUMBER(J26)),1,0)</f>
        <v>0</v>
      </c>
      <c r="K32" s="77"/>
      <c r="L32" s="75">
        <f>IF(AND(L26&gt;N26,$AL8&gt;3,$AL7&gt;1,ISNUMBER(L26),ISNUMBER(N26)),1,0)</f>
        <v>0</v>
      </c>
      <c r="M32" s="75"/>
      <c r="N32" s="76">
        <f>IF(AND(N26&gt;L26,$AL8&gt;3,$AL7&gt;1,ISNUMBER(L26),ISNUMBER(N26)),1,0)</f>
        <v>0</v>
      </c>
      <c r="O32" s="75">
        <f>IF(AND(O26&gt;Q26,$AL8&gt;4,$AL7&gt;1,ISNUMBER(O26),ISNUMBER(Q26)),1,0)</f>
        <v>0</v>
      </c>
      <c r="P32" s="75"/>
      <c r="Q32" s="76">
        <f>IF(AND(Q26&gt;O26,$AL8&gt;4,$AL7&gt;1,ISNUMBER(O26),ISNUMBER(Q26)),1,0)</f>
        <v>0</v>
      </c>
      <c r="R32" s="75">
        <f>IF(AND(R26&gt;T26,$AL8&gt;5,$AL7&gt;1,ISNUMBER(R26),ISNUMBER(T26)),1,0)</f>
        <v>0</v>
      </c>
      <c r="S32" s="75"/>
      <c r="T32" s="76">
        <f>IF(AND(T26&gt;R26,$AL8&gt;5,$AL7&gt;1,ISNUMBER(R26),ISNUMBER(T26)),1,0)</f>
        <v>0</v>
      </c>
      <c r="U32" s="75">
        <f>IF(AND(U26&gt;W26,$AL8&gt;6,$AL7&gt;1,ISNUMBER(U26),ISNUMBER(W26)),1,0)</f>
        <v>0</v>
      </c>
      <c r="V32" s="75"/>
      <c r="W32" s="76">
        <f>IF(AND(W26&gt;U26,$AL8&gt;6,$AL7&gt;1,ISNUMBER(U26),ISNUMBER(W26)),1,0)</f>
        <v>0</v>
      </c>
      <c r="X32" s="75">
        <f>IF(AND(X26&gt;Z26,$AL8&gt;7,$AL7&gt;1,ISNUMBER(X26),ISNUMBER(Z26)),1,0)</f>
        <v>0</v>
      </c>
      <c r="Y32" s="75"/>
      <c r="Z32" s="76">
        <f>IF(AND(Z26&gt;X26,$AL8&gt;7,$AL7&gt;1,ISNUMBER(X26),ISNUMBER(Z26)),1,0)</f>
        <v>0</v>
      </c>
      <c r="AA32" s="75">
        <f>IF(AND(AA26&gt;AC26,$AL8&gt;8,$AL7&gt;1,ISNUMBER(AA26),ISNUMBER(AC26)),1,0)</f>
        <v>0</v>
      </c>
      <c r="AB32" s="75"/>
      <c r="AC32" s="76">
        <f>IF(AND(AC26&gt;AA26,$AL8&gt;8,$AL7&gt;1,ISNUMBER(AA26),ISNUMBER(AC26)),1,0)</f>
        <v>0</v>
      </c>
      <c r="AD32" s="75">
        <f>IF(AND(AD26&gt;AF26,$AL8&gt;9,$AL7&gt;1,ISNUMBER(AD26),ISNUMBER(AF26)),1,0)</f>
        <v>0</v>
      </c>
      <c r="AE32" s="75"/>
      <c r="AF32" s="76">
        <f>IF(AND(AF26&gt;AD26,$AL8&gt;9,$AL7&gt;1,ISNUMBER(AD26),ISNUMBER(AF26)),1,0)</f>
        <v>0</v>
      </c>
    </row>
    <row r="33" spans="1:34" s="74" customFormat="1" ht="12.75" hidden="1" customHeight="1" x14ac:dyDescent="0.25">
      <c r="A33" s="74" t="s">
        <v>55</v>
      </c>
      <c r="B33" s="75">
        <f>IF(AND(B27&gt;D27,$AL8&gt;0,$AL7&gt;2,ISNUMBER(B27),ISNUMBER(D27)),1,0)</f>
        <v>0</v>
      </c>
      <c r="C33" s="75"/>
      <c r="D33" s="76">
        <f>IF(AND(D27&gt;B27,$AL8&gt;0,$AL7&gt;2,ISNUMBER(B27),ISNUMBER(D27)),1,0)</f>
        <v>0</v>
      </c>
      <c r="E33" s="75">
        <f>IF(AND(E27&gt;G27,$AL8&gt;1,$AL7&gt;2,ISNUMBER(E27),ISNUMBER(G27)),1,0)</f>
        <v>0</v>
      </c>
      <c r="F33" s="75"/>
      <c r="G33" s="76">
        <f>IF(AND(G27&gt;E27,$AL8&gt;1,$AL7&gt;2,ISNUMBER(E27),ISNUMBER(G27)),1,0)</f>
        <v>0</v>
      </c>
      <c r="H33" s="75">
        <f>IF(AND(H27&gt;J27,$AL8&gt;2,$AL7&gt;2,ISNUMBER(H27),ISNUMBER(J27)),1,0)</f>
        <v>0</v>
      </c>
      <c r="I33" s="75"/>
      <c r="J33" s="76">
        <f>IF(AND(J27&gt;H27,$AL8&gt;2,$AL7&gt;2,ISNUMBER(H27),ISNUMBER(J27)),1,0)</f>
        <v>0</v>
      </c>
      <c r="K33" s="77"/>
      <c r="L33" s="75">
        <f>IF(AND(L27&gt;N27,$AL8&gt;3,$AL7&gt;2,ISNUMBER(L27),ISNUMBER(N27)),1,0)</f>
        <v>0</v>
      </c>
      <c r="M33" s="75"/>
      <c r="N33" s="76">
        <f>IF(AND(N27&gt;L27,$AL8&gt;3,$AL7&gt;2,ISNUMBER(L27),ISNUMBER(N27)),1,0)</f>
        <v>0</v>
      </c>
      <c r="O33" s="75">
        <f>IF(AND(O27&gt;Q27,$AL8&gt;4,$AL7&gt;2,ISNUMBER(O27),ISNUMBER(Q27)),1,0)</f>
        <v>0</v>
      </c>
      <c r="P33" s="75"/>
      <c r="Q33" s="76">
        <f>IF(AND(Q27&gt;O27,$AL8&gt;4,$AL7&gt;2,ISNUMBER(O27),ISNUMBER(Q27)),1,0)</f>
        <v>0</v>
      </c>
      <c r="R33" s="75">
        <f>IF(AND(R27&gt;T27,$AL8&gt;5,$AL7&gt;2,ISNUMBER(R27),ISNUMBER(T27)),1,0)</f>
        <v>0</v>
      </c>
      <c r="S33" s="75"/>
      <c r="T33" s="76">
        <f>IF(AND(T27&gt;R27,$AL8&gt;5,$AL7&gt;2,ISNUMBER(R27),ISNUMBER(T27)),1,0)</f>
        <v>0</v>
      </c>
      <c r="U33" s="75">
        <f>IF(AND(U27&gt;W27,$AL8&gt;6,$AL7&gt;2,ISNUMBER(U27),ISNUMBER(W27)),1,0)</f>
        <v>0</v>
      </c>
      <c r="V33" s="75"/>
      <c r="W33" s="76">
        <f>IF(AND(W27&gt;U27,$AL8&gt;6,$AL7&gt;2,ISNUMBER(U27),ISNUMBER(W27)),1,0)</f>
        <v>0</v>
      </c>
      <c r="X33" s="75">
        <f>IF(AND(X27&gt;Z27,$AL8&gt;7,$AL7&gt;2,ISNUMBER(X27),ISNUMBER(Z27)),1,0)</f>
        <v>0</v>
      </c>
      <c r="Y33" s="75"/>
      <c r="Z33" s="76">
        <f>IF(AND(Z27&gt;X27,$AL8&gt;7,$AL7&gt;2,ISNUMBER(X27),ISNUMBER(Z27)),1,0)</f>
        <v>0</v>
      </c>
      <c r="AA33" s="75">
        <f>IF(AND(AA27&gt;AC27,$AL8&gt;8,$AL7&gt;2,ISNUMBER(AA27),ISNUMBER(AC27)),1,0)</f>
        <v>0</v>
      </c>
      <c r="AB33" s="75"/>
      <c r="AC33" s="76">
        <f>IF(AND(AC27&gt;AA27,$AL8&gt;8,$AL7&gt;2,ISNUMBER(AA27),ISNUMBER(AC27)),1,0)</f>
        <v>0</v>
      </c>
      <c r="AD33" s="75">
        <f>IF(AND(AD27&gt;AF27,$AL8&gt;9,$AL7&gt;2,ISNUMBER(AD27),ISNUMBER(AF27)),1,0)</f>
        <v>0</v>
      </c>
      <c r="AE33" s="75"/>
      <c r="AF33" s="76">
        <f>IF(AND(AF27&gt;AD27,$AL8&gt;9,$AL7&gt;2,ISNUMBER(AD27),ISNUMBER(AF27)),1,0)</f>
        <v>0</v>
      </c>
    </row>
    <row r="34" spans="1:34" s="74" customFormat="1" ht="12.75" hidden="1" customHeight="1" x14ac:dyDescent="0.25">
      <c r="A34" s="74" t="s">
        <v>56</v>
      </c>
      <c r="B34" s="75">
        <f>IF(AND(B28&gt;D28,$AL8&gt;0,$AL7&gt;3,ISNUMBER(B28),ISNUMBER(D28)),1,0)</f>
        <v>0</v>
      </c>
      <c r="C34" s="75"/>
      <c r="D34" s="76">
        <f>IF(AND(D28&gt;B28,$AL8&gt;0,$AL7&gt;3,ISNUMBER(B28),ISNUMBER(D28)),1,0)</f>
        <v>0</v>
      </c>
      <c r="E34" s="75">
        <f>IF(AND(E28&gt;G28,$AL8&gt;1,$AL7&gt;3,ISNUMBER(E28),ISNUMBER(G28)),1,0)</f>
        <v>0</v>
      </c>
      <c r="F34" s="75"/>
      <c r="G34" s="76">
        <f>IF(AND(G28&gt;E28,$AL8&gt;1,$AL7&gt;3,ISNUMBER(E28),ISNUMBER(G28)),1,0)</f>
        <v>0</v>
      </c>
      <c r="H34" s="75">
        <f>IF(AND(H28&gt;J28,$AL8&gt;2,$AL7&gt;3,ISNUMBER(H28),ISNUMBER(J28)),1,0)</f>
        <v>0</v>
      </c>
      <c r="I34" s="75"/>
      <c r="J34" s="76">
        <f>IF(AND(J28&gt;H28,$AL8&gt;2,$AL7&gt;3,ISNUMBER(H28),ISNUMBER(J28)),1,0)</f>
        <v>0</v>
      </c>
      <c r="K34" s="77"/>
      <c r="L34" s="75">
        <f>IF(AND(L28&gt;N28,$AL8&gt;3,$AL7&gt;3,ISNUMBER(L28),ISNUMBER(N28)),1,0)</f>
        <v>0</v>
      </c>
      <c r="M34" s="75"/>
      <c r="N34" s="76">
        <f>IF(AND(N28&gt;L28,$AL8&gt;3,$AL7&gt;3,ISNUMBER(L28),ISNUMBER(N28)),1,0)</f>
        <v>0</v>
      </c>
      <c r="O34" s="75">
        <f>IF(AND(O28&gt;Q28,$AL8&gt;4,$AL7&gt;3,ISNUMBER(O28),ISNUMBER(Q28)),1,0)</f>
        <v>0</v>
      </c>
      <c r="P34" s="75"/>
      <c r="Q34" s="76">
        <f>IF(AND(Q28&gt;O28,$AL8&gt;4,$AL7&gt;3,ISNUMBER(O28),ISNUMBER(Q28)),1,0)</f>
        <v>0</v>
      </c>
      <c r="R34" s="75">
        <f>IF(AND(R28&gt;T28,$AL8&gt;5,$AL7&gt;3,ISNUMBER(R28),ISNUMBER(T28)),1,0)</f>
        <v>0</v>
      </c>
      <c r="S34" s="75"/>
      <c r="T34" s="76">
        <f>IF(AND(T28&gt;R28,$AL8&gt;5,$AL7&gt;3,ISNUMBER(R28),ISNUMBER(T28)),1,0)</f>
        <v>0</v>
      </c>
      <c r="U34" s="75">
        <f>IF(AND(U28&gt;W28,$AL8&gt;6,$AL7&gt;3,ISNUMBER(U28),ISNUMBER(W28)),1,0)</f>
        <v>0</v>
      </c>
      <c r="V34" s="75"/>
      <c r="W34" s="76">
        <f>IF(AND(W28&gt;U28,$AL8&gt;6,$AL7&gt;3,ISNUMBER(U28),ISNUMBER(W28)),1,0)</f>
        <v>0</v>
      </c>
      <c r="X34" s="75">
        <f>IF(AND(X28&gt;Z28,$AL8&gt;7,$AL7&gt;3,ISNUMBER(X28),ISNUMBER(Z28)),1,0)</f>
        <v>0</v>
      </c>
      <c r="Y34" s="75"/>
      <c r="Z34" s="76">
        <f>IF(AND(Z28&gt;X28,$AL8&gt;7,$AL7&gt;3,ISNUMBER(X28),ISNUMBER(Z28)),1,0)</f>
        <v>0</v>
      </c>
      <c r="AA34" s="75">
        <f>IF(AND(AA28&gt;AC28,$AL8&gt;8,$AL7&gt;3,ISNUMBER(AA28),ISNUMBER(AC28)),1,0)</f>
        <v>0</v>
      </c>
      <c r="AB34" s="75"/>
      <c r="AC34" s="76">
        <f>IF(AND(AC28&gt;AA28,$AL8&gt;8,$AL7&gt;3,ISNUMBER(AA28),ISNUMBER(AC28)),1,0)</f>
        <v>0</v>
      </c>
      <c r="AD34" s="75">
        <f>IF(AND(AD28&gt;AF28,$AL8&gt;9,$AL7&gt;3,ISNUMBER(AD28),ISNUMBER(AF28)),1,0)</f>
        <v>0</v>
      </c>
      <c r="AE34" s="75"/>
      <c r="AF34" s="76">
        <f>IF(AND(AF28&gt;AD28,$AL8&gt;9,$AL7&gt;3,ISNUMBER(AD28),ISNUMBER(AF28)),1,0)</f>
        <v>0</v>
      </c>
    </row>
    <row r="35" spans="1:34" s="74" customFormat="1" ht="12.75" hidden="1" customHeight="1" x14ac:dyDescent="0.25">
      <c r="A35" s="74" t="s">
        <v>57</v>
      </c>
      <c r="B35" s="75">
        <f>IF(AND(B29&gt;D29,$AL8&gt;0,$AL7&gt;4,ISNUMBER(B29),ISNUMBER(D29)),1,0)</f>
        <v>0</v>
      </c>
      <c r="C35" s="75"/>
      <c r="D35" s="76">
        <f>IF(AND(D29&gt;B29,$AL8&gt;0,$AL7&gt;4,ISNUMBER(B29),ISNUMBER(D29)),1,0)</f>
        <v>0</v>
      </c>
      <c r="E35" s="75">
        <f>IF(AND(E29&gt;G29,$AL8&gt;1,$AL7&gt;4,ISNUMBER(E29),ISNUMBER(G29)),1,0)</f>
        <v>0</v>
      </c>
      <c r="F35" s="75"/>
      <c r="G35" s="76">
        <f>IF(AND(G29&gt;E29,$AL8&gt;1,$AL7&gt;4,ISNUMBER(E29),ISNUMBER(G29)),1,0)</f>
        <v>0</v>
      </c>
      <c r="H35" s="75">
        <f>IF(AND(H29&gt;J29,$AL8&gt;2,$AL7&gt;4,ISNUMBER(H29),ISNUMBER(J29)),1,0)</f>
        <v>0</v>
      </c>
      <c r="I35" s="75"/>
      <c r="J35" s="76">
        <f>IF(AND(J29&gt;H29,$AL8&gt;2,$AL7&gt;4,ISNUMBER(H29),ISNUMBER(J29)),1,0)</f>
        <v>0</v>
      </c>
      <c r="K35" s="77"/>
      <c r="L35" s="75">
        <f>IF(AND(L29&gt;N29,$AL8&gt;3,$AL7&gt;4,ISNUMBER(L29),ISNUMBER(N29)),1,0)</f>
        <v>0</v>
      </c>
      <c r="M35" s="75"/>
      <c r="N35" s="76">
        <f>IF(AND(N29&gt;L29,$AL8&gt;3,$AL7&gt;4,ISNUMBER(L29),ISNUMBER(N29)),1,0)</f>
        <v>0</v>
      </c>
      <c r="O35" s="75">
        <f>IF(AND(O29&gt;Q29,$AL8&gt;4,$AL7&gt;4,ISNUMBER(O29),ISNUMBER(Q29)),1,0)</f>
        <v>0</v>
      </c>
      <c r="P35" s="75"/>
      <c r="Q35" s="76">
        <f>IF(AND(Q29&gt;O29,$AL8&gt;4,$AL7&gt;4,ISNUMBER(O29),ISNUMBER(Q29)),1,0)</f>
        <v>0</v>
      </c>
      <c r="R35" s="75">
        <f>IF(AND(R29&gt;T29,$AL8&gt;5,$AL7&gt;4,ISNUMBER(R29),ISNUMBER(T29)),1,0)</f>
        <v>0</v>
      </c>
      <c r="S35" s="75"/>
      <c r="T35" s="76">
        <f>IF(AND(T29&gt;R29,$AL8&gt;5,$AL7&gt;4,ISNUMBER(R29),ISNUMBER(T29)),1,0)</f>
        <v>0</v>
      </c>
      <c r="U35" s="75">
        <f>IF(AND(U29&gt;W29,$AL8&gt;6,$AL7&gt;4,ISNUMBER(U29),ISNUMBER(W29)),1,0)</f>
        <v>0</v>
      </c>
      <c r="V35" s="75"/>
      <c r="W35" s="76">
        <f>IF(AND(W29&gt;U29,$AL8&gt;6,$AL7&gt;4,ISNUMBER(U29),ISNUMBER(W29)),1,0)</f>
        <v>0</v>
      </c>
      <c r="X35" s="75">
        <f>IF(AND(X29&gt;Z29,$AL8&gt;7,$AL7&gt;4,ISNUMBER(X29),ISNUMBER(Z29)),1,0)</f>
        <v>0</v>
      </c>
      <c r="Y35" s="75"/>
      <c r="Z35" s="76">
        <f>IF(AND(Z29&gt;X29,$AL8&gt;7,$AL7&gt;4,ISNUMBER(X29),ISNUMBER(Z29)),1,0)</f>
        <v>0</v>
      </c>
      <c r="AA35" s="75">
        <f>IF(AND(AA29&gt;AC29,$AL8&gt;8,$AL7&gt;4,ISNUMBER(AA29),ISNUMBER(AC29)),1,0)</f>
        <v>0</v>
      </c>
      <c r="AB35" s="75"/>
      <c r="AC35" s="76">
        <f>IF(AND(AC29&gt;AA29,$AL8&gt;8,$AL7&gt;4,ISNUMBER(AA29),ISNUMBER(AC29)),1,0)</f>
        <v>0</v>
      </c>
      <c r="AD35" s="75">
        <f>IF(AND(AD29&gt;AF29,$AL8&gt;9,$AL7&gt;4,ISNUMBER(AD29),ISNUMBER(AF29)),1,0)</f>
        <v>0</v>
      </c>
      <c r="AE35" s="75"/>
      <c r="AF35" s="76">
        <f>IF(AND(AF29&gt;AD29,$AL8&gt;9,$AL7&gt;4,ISNUMBER(AD29),ISNUMBER(AF29)),1,0)</f>
        <v>0</v>
      </c>
    </row>
    <row r="36" spans="1:34" s="74" customFormat="1" ht="38.25" hidden="1" customHeight="1" x14ac:dyDescent="0.25">
      <c r="A36" s="78" t="s">
        <v>58</v>
      </c>
      <c r="B36" s="74">
        <f>SUM(B31:B35)</f>
        <v>0</v>
      </c>
      <c r="D36" s="77">
        <f>SUM(D31:D35)</f>
        <v>1</v>
      </c>
      <c r="E36" s="74">
        <f>SUM(E31:E35)</f>
        <v>1</v>
      </c>
      <c r="G36" s="77">
        <f>SUM(G31:G35)</f>
        <v>0</v>
      </c>
      <c r="H36" s="74">
        <f>SUM(H31:H35)</f>
        <v>1</v>
      </c>
      <c r="J36" s="77">
        <f>SUM(J31:J35)</f>
        <v>0</v>
      </c>
      <c r="K36" s="77"/>
      <c r="L36" s="74">
        <f>SUM(L31:L35)</f>
        <v>0</v>
      </c>
      <c r="N36" s="77">
        <f>SUM(N31:N35)</f>
        <v>1</v>
      </c>
      <c r="O36" s="74">
        <f>SUM(O31:O35)</f>
        <v>1</v>
      </c>
      <c r="Q36" s="77">
        <f>SUM(Q31:Q35)</f>
        <v>0</v>
      </c>
      <c r="R36" s="74">
        <f>SUM(R31:R35)</f>
        <v>1</v>
      </c>
      <c r="T36" s="77">
        <f>SUM(T31:T35)</f>
        <v>0</v>
      </c>
      <c r="U36" s="74">
        <f>SUM(U31:U35)</f>
        <v>0</v>
      </c>
      <c r="W36" s="77">
        <f>SUM(W31:W35)</f>
        <v>0</v>
      </c>
      <c r="X36" s="74">
        <f>SUM(X31:X35)</f>
        <v>0</v>
      </c>
      <c r="Z36" s="77">
        <f>SUM(Z31:Z35)</f>
        <v>0</v>
      </c>
      <c r="AA36" s="74">
        <f>SUM(AA31:AA35)</f>
        <v>0</v>
      </c>
      <c r="AC36" s="77">
        <f>SUM(AC31:AC35)</f>
        <v>0</v>
      </c>
      <c r="AD36" s="74">
        <f>SUM(AD31:AD35)</f>
        <v>0</v>
      </c>
      <c r="AF36" s="77">
        <f>SUM(AF31:AF35)</f>
        <v>0</v>
      </c>
    </row>
    <row r="37" spans="1:34" s="74" customFormat="1" ht="25.5" hidden="1" customHeight="1" x14ac:dyDescent="0.25">
      <c r="A37" s="78" t="s">
        <v>59</v>
      </c>
      <c r="B37" s="74">
        <f>IF(B36&gt;D36,IF(C71=AL7,1,IF(C71=AL7-1,1,0)),0)</f>
        <v>0</v>
      </c>
      <c r="C37" s="74">
        <f>B37+D37</f>
        <v>1</v>
      </c>
      <c r="D37" s="77">
        <f>IF(D36&gt;B36,IF(C71=AL7,1,IF(C71=AL7-1,1,0)),0)</f>
        <v>1</v>
      </c>
      <c r="E37" s="74">
        <f>IF(E36&gt;G36,IF(F71=AL7,1,IF(F71=AL7-1,1,0)),0)</f>
        <v>1</v>
      </c>
      <c r="F37" s="74">
        <f>E37+G37</f>
        <v>1</v>
      </c>
      <c r="G37" s="77">
        <f>IF(G36&gt;E36,IF(F71=AL7,1,IF(F71=AL7-1,1,0)),0)</f>
        <v>0</v>
      </c>
      <c r="H37" s="74">
        <f>IF(H36&gt;J36,IF(I71=AL7,1,IF(I71=AL7-1,1,0)),0)</f>
        <v>1</v>
      </c>
      <c r="I37" s="74">
        <f>H37+J37</f>
        <v>1</v>
      </c>
      <c r="J37" s="77">
        <f>IF(J36&gt;H36,IF(I71=AL7,1,IF(I71=AL7-1,1,0)),0)</f>
        <v>0</v>
      </c>
      <c r="K37" s="77"/>
      <c r="L37" s="74">
        <f>IF(L36&gt;N36,IF(M71=AL7,1,IF(M71=AL7-1,1,0)),0)</f>
        <v>0</v>
      </c>
      <c r="M37" s="74">
        <f>L37+N37</f>
        <v>1</v>
      </c>
      <c r="N37" s="77">
        <f>IF(N36&gt;L36,IF(M71=AL7,1,IF(M71=AL7-1,1,0)),0)</f>
        <v>1</v>
      </c>
      <c r="O37" s="74">
        <f>IF(O36&gt;Q36,IF(P71=AL7,1,IF(P71=AL7-1,1,0)),0)</f>
        <v>1</v>
      </c>
      <c r="P37" s="74">
        <f>O37+Q37</f>
        <v>1</v>
      </c>
      <c r="Q37" s="77">
        <f>IF(Q36&gt;O36,IF(P71=AL7,1,IF(P71=AL7-1,1,0)),0)</f>
        <v>0</v>
      </c>
      <c r="R37" s="74">
        <f>IF(R36&gt;T36,IF(S71=AL7,1,IF(S71=AL7-1,1,0)),0)</f>
        <v>1</v>
      </c>
      <c r="S37" s="74">
        <f>R37+T37</f>
        <v>1</v>
      </c>
      <c r="T37" s="77">
        <f>IF(T36&gt;R36,IF(S71=AL7,1,IF(S71=AL7-1,1,0)),0)</f>
        <v>0</v>
      </c>
      <c r="U37" s="74">
        <f>IF(U36&gt;W36,IF(V71=AL7,1,IF(V71=AL7-1,1,0)),0)</f>
        <v>0</v>
      </c>
      <c r="V37" s="74">
        <f>U37+W37</f>
        <v>0</v>
      </c>
      <c r="W37" s="77">
        <f>IF(W36&gt;U36,IF(V71=AL7,1,IF(V71=AL7-1,1,0)),0)</f>
        <v>0</v>
      </c>
      <c r="X37" s="74">
        <f>IF(X36&gt;Z36,IF(Y71=AL7,1,IF(Y71=AL7-1,1,0)),0)</f>
        <v>0</v>
      </c>
      <c r="Y37" s="74">
        <f>X37+Z37</f>
        <v>0</v>
      </c>
      <c r="Z37" s="77">
        <f>IF(Z36&gt;X36,IF(Y71=AL7,1,IF(Y71=AL7-1,1,0)),0)</f>
        <v>0</v>
      </c>
      <c r="AA37" s="74">
        <f>IF(AA36&gt;AC36,IF(AB71=AL7,1,IF(AB71=AL7-1,1,0)),0)</f>
        <v>0</v>
      </c>
      <c r="AB37" s="74">
        <f>AA37+AC37</f>
        <v>0</v>
      </c>
      <c r="AC37" s="77">
        <f>IF(AC36&gt;AA36,IF(AB71=AL7,1,IF(AB71=AL7-1,1,0)),0)</f>
        <v>0</v>
      </c>
      <c r="AD37" s="74">
        <f>IF(AD36&gt;AF36,IF(AE71=AL7,1,IF(AE71=AL7-1,1,0)),0)</f>
        <v>0</v>
      </c>
      <c r="AE37" s="74">
        <f>AD37+AF37</f>
        <v>0</v>
      </c>
      <c r="AF37" s="77">
        <f>IF(AF36&gt;AD36,IF(AE71=AL7,1,IF(AE71=AL7-1,1,0)),0)</f>
        <v>0</v>
      </c>
    </row>
    <row r="38" spans="1:34" s="74" customFormat="1" ht="25.5" hidden="1" customHeight="1" x14ac:dyDescent="0.25">
      <c r="A38" s="78"/>
      <c r="D38" s="77"/>
      <c r="G38" s="77"/>
      <c r="J38" s="77"/>
      <c r="K38" s="77"/>
      <c r="N38" s="77"/>
      <c r="Q38" s="77"/>
      <c r="T38" s="77"/>
      <c r="W38" s="77"/>
      <c r="Z38" s="77"/>
      <c r="AC38" s="77"/>
      <c r="AF38" s="77"/>
    </row>
    <row r="39" spans="1:34" s="74" customFormat="1" ht="12.75" hidden="1" customHeight="1" x14ac:dyDescent="0.25">
      <c r="A39" s="74" t="s">
        <v>60</v>
      </c>
      <c r="B39" s="74">
        <f>IF(B31=1,B25,0)</f>
        <v>0</v>
      </c>
      <c r="D39" s="77">
        <f t="shared" ref="D39:E43" si="2">IF(D31=1,D25,0)</f>
        <v>31</v>
      </c>
      <c r="E39" s="74">
        <f t="shared" si="2"/>
        <v>31</v>
      </c>
      <c r="G39" s="77">
        <f t="shared" ref="G39:H43" si="3">IF(G31=1,G25,0)</f>
        <v>0</v>
      </c>
      <c r="H39" s="74">
        <f t="shared" si="3"/>
        <v>34</v>
      </c>
      <c r="J39" s="77">
        <f>IF(J31=1,J25,0)</f>
        <v>0</v>
      </c>
      <c r="K39" s="77"/>
      <c r="L39" s="74">
        <f>IF(L31=1,L25,0)</f>
        <v>0</v>
      </c>
      <c r="N39" s="77">
        <f t="shared" ref="N39:O43" si="4">IF(N31=1,N25,0)</f>
        <v>32</v>
      </c>
      <c r="O39" s="74">
        <f t="shared" si="4"/>
        <v>37</v>
      </c>
      <c r="Q39" s="77">
        <f t="shared" ref="Q39:R43" si="5">IF(Q31=1,Q25,0)</f>
        <v>0</v>
      </c>
      <c r="R39" s="74">
        <f t="shared" si="5"/>
        <v>26</v>
      </c>
      <c r="T39" s="77">
        <f t="shared" ref="T39:U43" si="6">IF(T31=1,T25,0)</f>
        <v>0</v>
      </c>
      <c r="U39" s="74">
        <f t="shared" si="6"/>
        <v>0</v>
      </c>
      <c r="W39" s="77">
        <f t="shared" ref="W39:X43" si="7">IF(W31=1,W25,0)</f>
        <v>0</v>
      </c>
      <c r="X39" s="74">
        <f t="shared" si="7"/>
        <v>0</v>
      </c>
      <c r="Z39" s="77">
        <f t="shared" ref="Z39:AA43" si="8">IF(Z31=1,Z25,0)</f>
        <v>0</v>
      </c>
      <c r="AA39" s="74">
        <f t="shared" si="8"/>
        <v>0</v>
      </c>
      <c r="AC39" s="77">
        <f t="shared" ref="AC39:AD43" si="9">IF(AC31=1,AC25,0)</f>
        <v>0</v>
      </c>
      <c r="AD39" s="74">
        <f t="shared" si="9"/>
        <v>0</v>
      </c>
      <c r="AF39" s="77">
        <f>IF(AF31=1,AF25,0)</f>
        <v>0</v>
      </c>
    </row>
    <row r="40" spans="1:34" s="74" customFormat="1" ht="12.75" hidden="1" customHeight="1" x14ac:dyDescent="0.25">
      <c r="A40" s="74" t="s">
        <v>61</v>
      </c>
      <c r="B40" s="74">
        <f>IF(B32=1,B26,0)</f>
        <v>0</v>
      </c>
      <c r="D40" s="77">
        <f t="shared" si="2"/>
        <v>0</v>
      </c>
      <c r="E40" s="74">
        <f t="shared" si="2"/>
        <v>0</v>
      </c>
      <c r="G40" s="77">
        <f t="shared" si="3"/>
        <v>0</v>
      </c>
      <c r="H40" s="74">
        <f t="shared" si="3"/>
        <v>0</v>
      </c>
      <c r="J40" s="77">
        <f>IF(J32=1,J26,0)</f>
        <v>0</v>
      </c>
      <c r="K40" s="77"/>
      <c r="L40" s="74">
        <f>IF(L32=1,L26,0)</f>
        <v>0</v>
      </c>
      <c r="N40" s="77">
        <f t="shared" si="4"/>
        <v>0</v>
      </c>
      <c r="O40" s="74">
        <f t="shared" si="4"/>
        <v>0</v>
      </c>
      <c r="Q40" s="77">
        <f t="shared" si="5"/>
        <v>0</v>
      </c>
      <c r="R40" s="74">
        <f t="shared" si="5"/>
        <v>0</v>
      </c>
      <c r="T40" s="77">
        <f t="shared" si="6"/>
        <v>0</v>
      </c>
      <c r="U40" s="74">
        <f t="shared" si="6"/>
        <v>0</v>
      </c>
      <c r="W40" s="77">
        <f t="shared" si="7"/>
        <v>0</v>
      </c>
      <c r="X40" s="74">
        <f t="shared" si="7"/>
        <v>0</v>
      </c>
      <c r="Z40" s="77">
        <f t="shared" si="8"/>
        <v>0</v>
      </c>
      <c r="AA40" s="74">
        <f t="shared" si="8"/>
        <v>0</v>
      </c>
      <c r="AC40" s="77">
        <f t="shared" si="9"/>
        <v>0</v>
      </c>
      <c r="AD40" s="74">
        <f t="shared" si="9"/>
        <v>0</v>
      </c>
      <c r="AF40" s="77">
        <f>IF(AF32=1,AF26,0)</f>
        <v>0</v>
      </c>
    </row>
    <row r="41" spans="1:34" s="74" customFormat="1" ht="12.75" hidden="1" customHeight="1" x14ac:dyDescent="0.25">
      <c r="A41" s="74" t="s">
        <v>62</v>
      </c>
      <c r="B41" s="74">
        <f>IF(B33=1,B27,0)</f>
        <v>0</v>
      </c>
      <c r="D41" s="77">
        <f t="shared" si="2"/>
        <v>0</v>
      </c>
      <c r="E41" s="74">
        <f t="shared" si="2"/>
        <v>0</v>
      </c>
      <c r="G41" s="77">
        <f t="shared" si="3"/>
        <v>0</v>
      </c>
      <c r="H41" s="74">
        <f t="shared" si="3"/>
        <v>0</v>
      </c>
      <c r="J41" s="77">
        <f>IF(J33=1,J27,0)</f>
        <v>0</v>
      </c>
      <c r="K41" s="77"/>
      <c r="L41" s="74">
        <f>IF(L33=1,L27,0)</f>
        <v>0</v>
      </c>
      <c r="N41" s="77">
        <f t="shared" si="4"/>
        <v>0</v>
      </c>
      <c r="O41" s="74">
        <f t="shared" si="4"/>
        <v>0</v>
      </c>
      <c r="Q41" s="77">
        <f t="shared" si="5"/>
        <v>0</v>
      </c>
      <c r="R41" s="74">
        <f t="shared" si="5"/>
        <v>0</v>
      </c>
      <c r="T41" s="77">
        <f t="shared" si="6"/>
        <v>0</v>
      </c>
      <c r="U41" s="74">
        <f t="shared" si="6"/>
        <v>0</v>
      </c>
      <c r="W41" s="77">
        <f t="shared" si="7"/>
        <v>0</v>
      </c>
      <c r="X41" s="74">
        <f t="shared" si="7"/>
        <v>0</v>
      </c>
      <c r="Z41" s="77">
        <f t="shared" si="8"/>
        <v>0</v>
      </c>
      <c r="AA41" s="74">
        <f t="shared" si="8"/>
        <v>0</v>
      </c>
      <c r="AC41" s="77">
        <f t="shared" si="9"/>
        <v>0</v>
      </c>
      <c r="AD41" s="74">
        <f t="shared" si="9"/>
        <v>0</v>
      </c>
      <c r="AF41" s="77">
        <f>IF(AF33=1,AF27,0)</f>
        <v>0</v>
      </c>
    </row>
    <row r="42" spans="1:34" s="74" customFormat="1" ht="12.75" hidden="1" customHeight="1" x14ac:dyDescent="0.25">
      <c r="A42" s="74" t="s">
        <v>63</v>
      </c>
      <c r="B42" s="74">
        <f>IF(B34=1,B28,0)</f>
        <v>0</v>
      </c>
      <c r="D42" s="77">
        <f t="shared" si="2"/>
        <v>0</v>
      </c>
      <c r="E42" s="74">
        <f t="shared" si="2"/>
        <v>0</v>
      </c>
      <c r="G42" s="77">
        <f t="shared" si="3"/>
        <v>0</v>
      </c>
      <c r="H42" s="74">
        <f t="shared" si="3"/>
        <v>0</v>
      </c>
      <c r="J42" s="77">
        <f>IF(J34=1,J28,0)</f>
        <v>0</v>
      </c>
      <c r="K42" s="77"/>
      <c r="L42" s="74">
        <f>IF(L34=1,L28,0)</f>
        <v>0</v>
      </c>
      <c r="N42" s="77">
        <f t="shared" si="4"/>
        <v>0</v>
      </c>
      <c r="O42" s="74">
        <f t="shared" si="4"/>
        <v>0</v>
      </c>
      <c r="Q42" s="77">
        <f t="shared" si="5"/>
        <v>0</v>
      </c>
      <c r="R42" s="74">
        <f t="shared" si="5"/>
        <v>0</v>
      </c>
      <c r="T42" s="77">
        <f t="shared" si="6"/>
        <v>0</v>
      </c>
      <c r="U42" s="74">
        <f t="shared" si="6"/>
        <v>0</v>
      </c>
      <c r="W42" s="77">
        <f t="shared" si="7"/>
        <v>0</v>
      </c>
      <c r="X42" s="74">
        <f t="shared" si="7"/>
        <v>0</v>
      </c>
      <c r="Z42" s="77">
        <f t="shared" si="8"/>
        <v>0</v>
      </c>
      <c r="AA42" s="74">
        <f t="shared" si="8"/>
        <v>0</v>
      </c>
      <c r="AC42" s="77">
        <f t="shared" si="9"/>
        <v>0</v>
      </c>
      <c r="AD42" s="74">
        <f t="shared" si="9"/>
        <v>0</v>
      </c>
      <c r="AF42" s="77">
        <f>IF(AF34=1,AF28,0)</f>
        <v>0</v>
      </c>
    </row>
    <row r="43" spans="1:34" s="74" customFormat="1" ht="12.75" hidden="1" customHeight="1" x14ac:dyDescent="0.25">
      <c r="A43" s="74" t="s">
        <v>64</v>
      </c>
      <c r="B43" s="74">
        <f>IF(B35=1,B29,0)</f>
        <v>0</v>
      </c>
      <c r="D43" s="77">
        <f t="shared" si="2"/>
        <v>0</v>
      </c>
      <c r="E43" s="74">
        <f t="shared" si="2"/>
        <v>0</v>
      </c>
      <c r="G43" s="77">
        <f t="shared" si="3"/>
        <v>0</v>
      </c>
      <c r="H43" s="74">
        <f t="shared" si="3"/>
        <v>0</v>
      </c>
      <c r="J43" s="77">
        <f>IF(J35=1,J29,0)</f>
        <v>0</v>
      </c>
      <c r="K43" s="77"/>
      <c r="L43" s="74">
        <f>IF(L35=1,L29,0)</f>
        <v>0</v>
      </c>
      <c r="N43" s="77">
        <f t="shared" si="4"/>
        <v>0</v>
      </c>
      <c r="O43" s="74">
        <f t="shared" si="4"/>
        <v>0</v>
      </c>
      <c r="Q43" s="77">
        <f t="shared" si="5"/>
        <v>0</v>
      </c>
      <c r="R43" s="74">
        <f t="shared" si="5"/>
        <v>0</v>
      </c>
      <c r="T43" s="77">
        <f t="shared" si="6"/>
        <v>0</v>
      </c>
      <c r="U43" s="74">
        <f t="shared" si="6"/>
        <v>0</v>
      </c>
      <c r="W43" s="77">
        <f t="shared" si="7"/>
        <v>0</v>
      </c>
      <c r="X43" s="74">
        <f t="shared" si="7"/>
        <v>0</v>
      </c>
      <c r="Z43" s="77">
        <f t="shared" si="8"/>
        <v>0</v>
      </c>
      <c r="AA43" s="74">
        <f t="shared" si="8"/>
        <v>0</v>
      </c>
      <c r="AC43" s="77">
        <f t="shared" si="9"/>
        <v>0</v>
      </c>
      <c r="AD43" s="74">
        <f t="shared" si="9"/>
        <v>0</v>
      </c>
      <c r="AF43" s="77">
        <f>IF(AF35=1,AF29,0)</f>
        <v>0</v>
      </c>
    </row>
    <row r="44" spans="1:34" s="74" customFormat="1" ht="38.25" hidden="1" customHeight="1" x14ac:dyDescent="0.25">
      <c r="A44" s="78" t="s">
        <v>65</v>
      </c>
      <c r="B44" s="74">
        <f>SUM(B39:D43)</f>
        <v>31</v>
      </c>
      <c r="D44" s="77"/>
      <c r="E44" s="74">
        <f>SUM(E39:G43)</f>
        <v>31</v>
      </c>
      <c r="G44" s="77"/>
      <c r="H44" s="74">
        <f>SUM(H39:J43)</f>
        <v>34</v>
      </c>
      <c r="J44" s="77"/>
      <c r="K44" s="77"/>
      <c r="L44" s="74">
        <f>SUM(L39:N43)</f>
        <v>32</v>
      </c>
      <c r="N44" s="77"/>
      <c r="O44" s="74">
        <f>SUM(O39:Q43)</f>
        <v>37</v>
      </c>
      <c r="Q44" s="77"/>
      <c r="R44" s="74">
        <f>SUM(R39:T43)</f>
        <v>26</v>
      </c>
      <c r="T44" s="77"/>
      <c r="U44" s="74">
        <f>SUM(U39:W43)</f>
        <v>0</v>
      </c>
      <c r="W44" s="77"/>
      <c r="X44" s="74">
        <f>SUM(X39:Z43)</f>
        <v>0</v>
      </c>
      <c r="Z44" s="77"/>
      <c r="AA44" s="74">
        <f>SUM(AA39:AC43)</f>
        <v>0</v>
      </c>
      <c r="AC44" s="77"/>
      <c r="AD44" s="74">
        <f>SUM(AD39:AF43)</f>
        <v>0</v>
      </c>
      <c r="AF44" s="77"/>
    </row>
    <row r="45" spans="1:34" s="74" customFormat="1" ht="38.25" hidden="1" customHeight="1" x14ac:dyDescent="0.25">
      <c r="A45" s="74" t="s">
        <v>66</v>
      </c>
      <c r="D45" s="77"/>
      <c r="G45" s="77"/>
      <c r="J45" s="77"/>
      <c r="K45" s="77"/>
      <c r="N45" s="77"/>
      <c r="Q45" s="77"/>
      <c r="T45" s="77"/>
      <c r="W45" s="77"/>
      <c r="Z45" s="77"/>
      <c r="AC45" s="77"/>
      <c r="AF45" s="77"/>
      <c r="AG45" s="78" t="s">
        <v>67</v>
      </c>
      <c r="AH45" s="74" t="s">
        <v>68</v>
      </c>
    </row>
    <row r="46" spans="1:34" s="74" customFormat="1" ht="12.75" hidden="1" customHeight="1" x14ac:dyDescent="0.25">
      <c r="A46" s="74" t="s">
        <v>69</v>
      </c>
      <c r="B46" s="74">
        <f>IF(B24=1,IF(B37=1,1,0),0)</f>
        <v>0</v>
      </c>
      <c r="D46" s="77">
        <f>IF(D24=1,IF(D37=1,1,0),0)</f>
        <v>0</v>
      </c>
      <c r="E46" s="74">
        <f>IF(E24=1,IF(E37=1,1,0),0)</f>
        <v>1</v>
      </c>
      <c r="G46" s="77">
        <f>IF(G24=1,IF(G37=1,1,0),0)</f>
        <v>0</v>
      </c>
      <c r="H46" s="74">
        <f>IF(H24=1,IF(H37=1,1,0),0)</f>
        <v>0</v>
      </c>
      <c r="J46" s="77">
        <f>IF(J24=1,IF(J37=1,1,0),0)</f>
        <v>0</v>
      </c>
      <c r="K46" s="77"/>
      <c r="L46" s="74">
        <f>IF(L24=1,IF(L37=1,1,0),0)</f>
        <v>0</v>
      </c>
      <c r="N46" s="77">
        <f>IF(N24=1,IF(N37=1,1,0),0)</f>
        <v>0</v>
      </c>
      <c r="O46" s="74">
        <f>IF(O24=1,IF(O37=1,1,0),0)</f>
        <v>0</v>
      </c>
      <c r="Q46" s="77">
        <f>IF(Q24=1,IF(Q37=1,1,0),0)</f>
        <v>0</v>
      </c>
      <c r="R46" s="74">
        <f>IF(R24=1,IF(R37=1,1,0),0)</f>
        <v>1</v>
      </c>
      <c r="T46" s="77">
        <f>IF(T24=1,IF(T37=1,1,0),0)</f>
        <v>0</v>
      </c>
      <c r="U46" s="74">
        <f>IF(U24=1,IF(U37=1,1,0),0)</f>
        <v>0</v>
      </c>
      <c r="W46" s="77">
        <f>IF(W24=1,IF(W37=1,1,0),0)</f>
        <v>0</v>
      </c>
      <c r="X46" s="74">
        <f>IF(X24=1,IF(X37=1,1,0),0)</f>
        <v>0</v>
      </c>
      <c r="Z46" s="77">
        <f>IF(Z24=1,IF(Z37=1,1,0),0)</f>
        <v>0</v>
      </c>
      <c r="AA46" s="74">
        <f>IF(AA24=1,IF(AA37=1,1,0),0)</f>
        <v>0</v>
      </c>
      <c r="AC46" s="77">
        <f>IF(AC24=1,IF(AC37=1,1,0),0)</f>
        <v>0</v>
      </c>
      <c r="AD46" s="74">
        <f>IF(AD24=1,IF(AD37=1,1,0),0)</f>
        <v>0</v>
      </c>
      <c r="AF46" s="77">
        <f>IF(AF24=1,IF(AF37=1,1,0),0)</f>
        <v>0</v>
      </c>
      <c r="AG46" s="74">
        <f>SUM(B46:AF46)</f>
        <v>2</v>
      </c>
      <c r="AH46" s="74">
        <f>AG52-AG46</f>
        <v>1</v>
      </c>
    </row>
    <row r="47" spans="1:34" s="74" customFormat="1" ht="12.75" hidden="1" customHeight="1" x14ac:dyDescent="0.25">
      <c r="A47" s="74" t="s">
        <v>70</v>
      </c>
      <c r="B47" s="74">
        <f>IF(B24=2,IF(B37=1,1,0),0)</f>
        <v>0</v>
      </c>
      <c r="D47" s="77">
        <f>IF(D24=2,IF(D37=1,1,0),0)</f>
        <v>0</v>
      </c>
      <c r="E47" s="74">
        <f>IF(E24=2,IF(E37=1,1,0),0)</f>
        <v>0</v>
      </c>
      <c r="G47" s="77">
        <f>IF(G24=2,IF(G37=1,1,0),0)</f>
        <v>0</v>
      </c>
      <c r="H47" s="74">
        <f>IF(H24=2,IF(H37=1,1,0),0)</f>
        <v>1</v>
      </c>
      <c r="J47" s="77">
        <f>IF(J24=2,IF(J37=1,1,0),0)</f>
        <v>0</v>
      </c>
      <c r="K47" s="77"/>
      <c r="L47" s="74">
        <f>IF(L24=2,IF(L37=1,1,0),0)</f>
        <v>0</v>
      </c>
      <c r="N47" s="77">
        <f>IF(N24=2,IF(N37=1,1,0),0)</f>
        <v>0</v>
      </c>
      <c r="O47" s="74">
        <f>IF(O24=2,IF(O37=1,1,0),0)</f>
        <v>0</v>
      </c>
      <c r="Q47" s="77">
        <f>IF(Q24=2,IF(Q37=1,1,0),0)</f>
        <v>0</v>
      </c>
      <c r="R47" s="74">
        <f>IF(R24=2,IF(R37=1,1,0),0)</f>
        <v>0</v>
      </c>
      <c r="T47" s="77">
        <f>IF(T24=2,IF(T37=1,1,0),0)</f>
        <v>0</v>
      </c>
      <c r="U47" s="74">
        <f>IF(U24=2,IF(U37=1,1,0),0)</f>
        <v>0</v>
      </c>
      <c r="W47" s="77">
        <f>IF(W24=2,IF(W37=1,1,0),0)</f>
        <v>0</v>
      </c>
      <c r="X47" s="74">
        <f>IF(X24=2,IF(X37=1,1,0),0)</f>
        <v>0</v>
      </c>
      <c r="Z47" s="77">
        <f>IF(Z24=2,IF(Z37=1,1,0),0)</f>
        <v>0</v>
      </c>
      <c r="AA47" s="74">
        <f>IF(AA24=2,IF(AA37=1,1,0),0)</f>
        <v>0</v>
      </c>
      <c r="AC47" s="77">
        <f>IF(AC24=2,IF(AC37=1,1,0),0)</f>
        <v>0</v>
      </c>
      <c r="AD47" s="74">
        <f>IF(AD24=2,IF(AD37=1,1,0),0)</f>
        <v>0</v>
      </c>
      <c r="AF47" s="77">
        <f>IF(AF24=2,IF(AF37=1,1,0),0)</f>
        <v>0</v>
      </c>
      <c r="AG47" s="74">
        <f>SUM(B47:AF47)</f>
        <v>1</v>
      </c>
      <c r="AH47" s="74">
        <f>AG53-AG47</f>
        <v>2</v>
      </c>
    </row>
    <row r="48" spans="1:34" s="74" customFormat="1" ht="12.75" hidden="1" customHeight="1" x14ac:dyDescent="0.25">
      <c r="A48" s="74" t="s">
        <v>71</v>
      </c>
      <c r="B48" s="74">
        <f>IF(B24=3,IF(B37=1,1,0),0)</f>
        <v>0</v>
      </c>
      <c r="D48" s="77">
        <f>IF(D24=3,IF(D37=1,1,0),0)</f>
        <v>1</v>
      </c>
      <c r="E48" s="74">
        <f>IF(E24=3,IF(E37=1,1,0),0)</f>
        <v>0</v>
      </c>
      <c r="G48" s="77">
        <f>IF(G24=3,IF(G37=1,1,0),0)</f>
        <v>0</v>
      </c>
      <c r="H48" s="74">
        <f>IF(H24=3,IF(H37=1,1,0),0)</f>
        <v>0</v>
      </c>
      <c r="J48" s="77">
        <f>IF(J24=3,IF(J37=1,1,0),0)</f>
        <v>0</v>
      </c>
      <c r="K48" s="77"/>
      <c r="L48" s="74">
        <f>IF(L24=3,IF(L37=1,1,0),0)</f>
        <v>0</v>
      </c>
      <c r="N48" s="77">
        <f>IF(N24=3,IF(N37=1,1,0),0)</f>
        <v>1</v>
      </c>
      <c r="O48" s="74">
        <f>IF(O24=3,IF(O37=1,1,0),0)</f>
        <v>1</v>
      </c>
      <c r="Q48" s="77">
        <f>IF(Q24=3,IF(Q37=1,1,0),0)</f>
        <v>0</v>
      </c>
      <c r="R48" s="74">
        <f>IF(R24=3,IF(R37=1,1,0),0)</f>
        <v>0</v>
      </c>
      <c r="T48" s="77">
        <f>IF(T24=3,IF(T37=1,1,0),0)</f>
        <v>0</v>
      </c>
      <c r="U48" s="74">
        <f>IF(U24=3,IF(U37=1,1,0),0)</f>
        <v>0</v>
      </c>
      <c r="W48" s="77">
        <f>IF(W24=3,IF(W37=1,1,0),0)</f>
        <v>0</v>
      </c>
      <c r="X48" s="74">
        <f>IF(X24=3,IF(X37=1,1,0),0)</f>
        <v>0</v>
      </c>
      <c r="Z48" s="77">
        <f>IF(Z24=3,IF(Z37=1,1,0),0)</f>
        <v>0</v>
      </c>
      <c r="AA48" s="74">
        <f>IF(AA24=3,IF(AA37=1,1,0),0)</f>
        <v>0</v>
      </c>
      <c r="AC48" s="77">
        <f>IF(AC24=3,IF(AC37=1,1,0),0)</f>
        <v>0</v>
      </c>
      <c r="AD48" s="74">
        <f>IF(AD24=3,IF(AD37=1,1,0),0)</f>
        <v>0</v>
      </c>
      <c r="AF48" s="77">
        <f>IF(AF24=3,IF(AF37=1,1,0),0)</f>
        <v>0</v>
      </c>
      <c r="AG48" s="74">
        <f>SUM(B48:AF48)</f>
        <v>3</v>
      </c>
      <c r="AH48" s="74">
        <f>AG54-AG48</f>
        <v>0</v>
      </c>
    </row>
    <row r="49" spans="1:38" s="74" customFormat="1" ht="12.75" hidden="1" customHeight="1" x14ac:dyDescent="0.25">
      <c r="A49" s="74" t="s">
        <v>72</v>
      </c>
      <c r="B49" s="74">
        <f>IF(B24=4,IF(B37=1,1,0),0)</f>
        <v>0</v>
      </c>
      <c r="D49" s="77">
        <f>IF(D24=4,IF(D37=1,1,0),0)</f>
        <v>0</v>
      </c>
      <c r="E49" s="74">
        <f>IF(E24=4,IF(E37=1,1,0),0)</f>
        <v>0</v>
      </c>
      <c r="G49" s="77">
        <f>IF(G24=4,IF(G37=1,1,0),0)</f>
        <v>0</v>
      </c>
      <c r="H49" s="74">
        <f>IF(H24=4,IF(H37=1,1,0),0)</f>
        <v>0</v>
      </c>
      <c r="J49" s="77">
        <f>IF(J24=4,IF(J37=1,1,0),0)</f>
        <v>0</v>
      </c>
      <c r="K49" s="77"/>
      <c r="L49" s="74">
        <f>IF(L24=4,IF(L37=1,1,0),0)</f>
        <v>0</v>
      </c>
      <c r="N49" s="77">
        <f>IF(N24=4,IF(N37=1,1,0),0)</f>
        <v>0</v>
      </c>
      <c r="O49" s="74">
        <f>IF(O24=4,IF(O37=1,1,0),0)</f>
        <v>0</v>
      </c>
      <c r="Q49" s="77">
        <f>IF(Q24=4,IF(Q37=1,1,0),0)</f>
        <v>0</v>
      </c>
      <c r="R49" s="74">
        <f>IF(R24=4,IF(R37=1,1,0),0)</f>
        <v>0</v>
      </c>
      <c r="T49" s="77">
        <f>IF(T24=4,IF(T37=1,1,0),0)</f>
        <v>0</v>
      </c>
      <c r="U49" s="74">
        <f>IF(U24=4,IF(U37=1,1,0),0)</f>
        <v>0</v>
      </c>
      <c r="W49" s="77">
        <f>IF(W24=4,IF(W37=1,1,0),0)</f>
        <v>0</v>
      </c>
      <c r="X49" s="74">
        <f>IF(X24=4,IF(X37=1,1,0),0)</f>
        <v>0</v>
      </c>
      <c r="Z49" s="77">
        <f>IF(Z24=4,IF(Z37=1,1,0),0)</f>
        <v>0</v>
      </c>
      <c r="AA49" s="74">
        <f>IF(AA24=4,IF(AA37=1,1,0),0)</f>
        <v>0</v>
      </c>
      <c r="AC49" s="77">
        <f>IF(AC24=4,IF(AC37=1,1,0),0)</f>
        <v>0</v>
      </c>
      <c r="AD49" s="74">
        <f>IF(AD24=4,IF(AD37=1,1,0),0)</f>
        <v>0</v>
      </c>
      <c r="AF49" s="77">
        <f>IF(AF24=4,IF(AF37=1,1,0),0)</f>
        <v>0</v>
      </c>
      <c r="AG49" s="74">
        <f>SUM(B49:AF49)</f>
        <v>0</v>
      </c>
      <c r="AH49" s="74">
        <f>AG55-AG49</f>
        <v>3</v>
      </c>
    </row>
    <row r="50" spans="1:38" s="74" customFormat="1" ht="12.75" hidden="1" customHeight="1" x14ac:dyDescent="0.25">
      <c r="A50" s="74" t="s">
        <v>73</v>
      </c>
      <c r="B50" s="74">
        <f>IF(B24=5,IF(B37=1,1,0),0)</f>
        <v>0</v>
      </c>
      <c r="D50" s="77">
        <f>IF(D24=5,IF(D37=1,1,0),0)</f>
        <v>0</v>
      </c>
      <c r="E50" s="74">
        <f>IF(E24=5,IF(E37=1,1,0),0)</f>
        <v>0</v>
      </c>
      <c r="G50" s="77">
        <f>IF(G24=5,IF(G37=1,1,0),0)</f>
        <v>0</v>
      </c>
      <c r="H50" s="74">
        <f>IF(H24=5,IF(H37=1,1,0),0)</f>
        <v>0</v>
      </c>
      <c r="J50" s="77">
        <f>IF(J24=5,IF(J37=1,1,0),0)</f>
        <v>0</v>
      </c>
      <c r="K50" s="77"/>
      <c r="L50" s="74">
        <f>IF(L24=5,IF(L37=1,1,0),0)</f>
        <v>0</v>
      </c>
      <c r="N50" s="77">
        <f>IF(N24=5,IF(N37=1,1,0),0)</f>
        <v>0</v>
      </c>
      <c r="O50" s="74">
        <f>IF(O24=5,IF(O37=1,1,0),0)</f>
        <v>0</v>
      </c>
      <c r="Q50" s="77">
        <f>IF(Q24=5,IF(Q37=1,1,0),0)</f>
        <v>0</v>
      </c>
      <c r="R50" s="74">
        <f>IF(R24=5,IF(R37=1,1,0),0)</f>
        <v>0</v>
      </c>
      <c r="T50" s="77">
        <f>IF(T24=5,IF(T37=1,1,0),0)</f>
        <v>0</v>
      </c>
      <c r="U50" s="74">
        <f>IF(U24=5,IF(U37=1,1,0),0)</f>
        <v>0</v>
      </c>
      <c r="W50" s="77">
        <f>IF(W24=5,IF(W37=1,1,0),0)</f>
        <v>0</v>
      </c>
      <c r="X50" s="74">
        <f>IF(X24=5,IF(X37=1,1,0),0)</f>
        <v>0</v>
      </c>
      <c r="Z50" s="77">
        <f>IF(Z24=5,IF(Z37=1,1,0),0)</f>
        <v>0</v>
      </c>
      <c r="AA50" s="74">
        <f>IF(AA24=5,IF(AA37=1,1,0),0)</f>
        <v>0</v>
      </c>
      <c r="AC50" s="77">
        <f>IF(AC24=5,IF(AC37=1,1,0),0)</f>
        <v>0</v>
      </c>
      <c r="AD50" s="74">
        <f>IF(AD24=5,IF(AD37=1,1,0),0)</f>
        <v>0</v>
      </c>
      <c r="AF50" s="77">
        <f>IF(AF24=5,IF(AF37=1,1,0),0)</f>
        <v>0</v>
      </c>
      <c r="AG50" s="74">
        <f>SUM(B50:AF50)</f>
        <v>0</v>
      </c>
      <c r="AH50" s="74">
        <f>AG56-AG50</f>
        <v>0</v>
      </c>
    </row>
    <row r="51" spans="1:38" s="74" customFormat="1" ht="38.25" hidden="1" customHeight="1" x14ac:dyDescent="0.25">
      <c r="A51" s="78"/>
      <c r="D51" s="77"/>
      <c r="G51" s="77"/>
      <c r="J51" s="77"/>
      <c r="K51" s="77"/>
      <c r="N51" s="77"/>
      <c r="Q51" s="77"/>
      <c r="T51" s="77"/>
      <c r="W51" s="77"/>
      <c r="Z51" s="77"/>
      <c r="AC51" s="77"/>
      <c r="AF51" s="77"/>
      <c r="AG51" s="78" t="s">
        <v>74</v>
      </c>
    </row>
    <row r="52" spans="1:38" s="74" customFormat="1" ht="12.75" hidden="1" customHeight="1" x14ac:dyDescent="0.25">
      <c r="A52" s="74" t="s">
        <v>75</v>
      </c>
      <c r="B52" s="74">
        <f>IF(B24=1,IF(C37=1,1,0),0)</f>
        <v>0</v>
      </c>
      <c r="D52" s="77">
        <f>IF(D24=1,IF(C37=1,1,0),0)</f>
        <v>0</v>
      </c>
      <c r="E52" s="74">
        <f>IF(E24=1,IF(F37=1,1,0),0)</f>
        <v>1</v>
      </c>
      <c r="G52" s="77">
        <f>IF(G24=1,IF(F37=1,1,0),0)</f>
        <v>0</v>
      </c>
      <c r="H52" s="74">
        <f>IF(H24=1,IF(I37=1,1,0),0)</f>
        <v>0</v>
      </c>
      <c r="J52" s="77">
        <f>IF(J24=1,IF(I37=1,1,0),0)</f>
        <v>0</v>
      </c>
      <c r="K52" s="77"/>
      <c r="L52" s="74">
        <f>IF(L24=1,IF(M37=1,1,0),0)</f>
        <v>1</v>
      </c>
      <c r="N52" s="77">
        <f>IF(N24=1,IF(M37=1,1,0),0)</f>
        <v>0</v>
      </c>
      <c r="O52" s="74">
        <f>IF(O24=1,IF(P37=1,1,0),0)</f>
        <v>0</v>
      </c>
      <c r="Q52" s="77">
        <f>IF(Q24=1,IF(P37=1,1,0),0)</f>
        <v>0</v>
      </c>
      <c r="R52" s="74">
        <f>IF(R24=1,IF(S37=1,1,0),0)</f>
        <v>1</v>
      </c>
      <c r="T52" s="77">
        <f>IF(T24=1,IF(S37=1,1,0),0)</f>
        <v>0</v>
      </c>
      <c r="U52" s="74">
        <f>IF(U24=1,IF(V37=1,1,0),0)</f>
        <v>0</v>
      </c>
      <c r="W52" s="77">
        <f>IF(W24=1,IF(V37=1,1,0),0)</f>
        <v>0</v>
      </c>
      <c r="X52" s="74">
        <f>IF(X24=1,IF(Y37=1,1,0),0)</f>
        <v>0</v>
      </c>
      <c r="Z52" s="77">
        <f>IF(Z24=1,IF(Y37=1,1,0),0)</f>
        <v>0</v>
      </c>
      <c r="AA52" s="74">
        <f>IF(AA24=1,IF(AB37=1,1,0),0)</f>
        <v>0</v>
      </c>
      <c r="AC52" s="77">
        <f>IF(AC24=1,IF(AB37=1,1,0),0)</f>
        <v>0</v>
      </c>
      <c r="AD52" s="74">
        <f>IF(AD24=1,IF(AE37=1,1,0),0)</f>
        <v>0</v>
      </c>
      <c r="AF52" s="77">
        <f>IF(AF24=1,IF(AE37=1,1,0),0)</f>
        <v>0</v>
      </c>
      <c r="AG52" s="74">
        <f>SUM(B52:AF52)</f>
        <v>3</v>
      </c>
    </row>
    <row r="53" spans="1:38" s="74" customFormat="1" ht="12.75" hidden="1" customHeight="1" x14ac:dyDescent="0.25">
      <c r="A53" s="74" t="s">
        <v>76</v>
      </c>
      <c r="B53" s="74">
        <f>IF(B24=2,IF(C37=1,1,0),0)</f>
        <v>1</v>
      </c>
      <c r="D53" s="77">
        <f>IF(D24=2,IF(C37=1,1,0),0)</f>
        <v>0</v>
      </c>
      <c r="E53" s="74">
        <f>IF(E24=2,IF(F37=1,1,0),0)</f>
        <v>0</v>
      </c>
      <c r="G53" s="77">
        <f>IF(G24=2,IF(F37=1,1,0),0)</f>
        <v>0</v>
      </c>
      <c r="H53" s="74">
        <f>IF(H24=2,IF(I37=1,1,0),0)</f>
        <v>1</v>
      </c>
      <c r="J53" s="77">
        <f>IF(J24=2,IF(I37=1,1,0),0)</f>
        <v>0</v>
      </c>
      <c r="K53" s="77"/>
      <c r="L53" s="74">
        <f>IF(L24=2,IF(M37=1,1,0),0)</f>
        <v>0</v>
      </c>
      <c r="N53" s="77">
        <f>IF(N24=2,IF(M37=1,1,0),0)</f>
        <v>0</v>
      </c>
      <c r="O53" s="74">
        <f>IF(O24=2,IF(P37=1,1,0),0)</f>
        <v>0</v>
      </c>
      <c r="Q53" s="77">
        <f>IF(Q24=2,IF(P37=1,1,0),0)</f>
        <v>0</v>
      </c>
      <c r="R53" s="74">
        <f>IF(R24=2,IF(S37=1,1,0),0)</f>
        <v>0</v>
      </c>
      <c r="T53" s="77">
        <f>IF(T24=2,IF(S37=1,1,0),0)</f>
        <v>1</v>
      </c>
      <c r="U53" s="74">
        <f>IF(U24=2,IF(V37=1,1,0),0)</f>
        <v>0</v>
      </c>
      <c r="W53" s="77">
        <f>IF(W24=2,IF(V37=1,1,0),0)</f>
        <v>0</v>
      </c>
      <c r="X53" s="74">
        <f>IF(X24=2,IF(Y37=1,1,0),0)</f>
        <v>0</v>
      </c>
      <c r="Z53" s="77">
        <f>IF(Z24=2,IF(Y37=1,1,0),0)</f>
        <v>0</v>
      </c>
      <c r="AA53" s="74">
        <f>IF(AA24=2,IF(AB37=1,1,0),0)</f>
        <v>0</v>
      </c>
      <c r="AC53" s="77">
        <f>IF(AC24=2,IF(AB37=1,1,0),0)</f>
        <v>0</v>
      </c>
      <c r="AD53" s="74">
        <f>IF(AD24=2,IF(AE37=1,1,0),0)</f>
        <v>0</v>
      </c>
      <c r="AF53" s="77">
        <f>IF(AF24=2,IF(AE37=1,1,0),0)</f>
        <v>0</v>
      </c>
      <c r="AG53" s="74">
        <f>SUM(B53:AF53)</f>
        <v>3</v>
      </c>
    </row>
    <row r="54" spans="1:38" s="74" customFormat="1" ht="12.75" hidden="1" customHeight="1" x14ac:dyDescent="0.25">
      <c r="A54" s="74" t="s">
        <v>77</v>
      </c>
      <c r="B54" s="74">
        <f>IF(B24=3,IF(C37=1,1,0),0)</f>
        <v>0</v>
      </c>
      <c r="D54" s="77">
        <f>IF(D24=3,IF(C37=1,1,0),0)</f>
        <v>1</v>
      </c>
      <c r="E54" s="74">
        <f>IF(E24=3,IF(F37=1,1,0),0)</f>
        <v>0</v>
      </c>
      <c r="G54" s="77">
        <f>IF(G24=3,IF(F37=1,1,0),0)</f>
        <v>0</v>
      </c>
      <c r="H54" s="74">
        <f>IF(H24=3,IF(I37=1,1,0),0)</f>
        <v>0</v>
      </c>
      <c r="J54" s="77">
        <f>IF(J24=3,IF(I37=1,1,0),0)</f>
        <v>0</v>
      </c>
      <c r="K54" s="77"/>
      <c r="L54" s="74">
        <f>IF(L24=3,IF(M37=1,1,0),0)</f>
        <v>0</v>
      </c>
      <c r="N54" s="77">
        <f>IF(N24=3,IF(M37=1,1,0),0)</f>
        <v>1</v>
      </c>
      <c r="O54" s="74">
        <f>IF(O24=3,IF(P37=1,1,0),0)</f>
        <v>1</v>
      </c>
      <c r="Q54" s="77">
        <f>IF(Q24=3,IF(P37=1,1,0),0)</f>
        <v>0</v>
      </c>
      <c r="R54" s="74">
        <f>IF(R24=3,IF(S37=1,1,0),0)</f>
        <v>0</v>
      </c>
      <c r="T54" s="77">
        <f>IF(T24=3,IF(S37=1,1,0),0)</f>
        <v>0</v>
      </c>
      <c r="U54" s="74">
        <f>IF(U24=3,IF(V37=1,1,0),0)</f>
        <v>0</v>
      </c>
      <c r="W54" s="77">
        <f>IF(W24=3,IF(V37=1,1,0),0)</f>
        <v>0</v>
      </c>
      <c r="X54" s="74">
        <f>IF(X24=3,IF(Y37=1,1,0),0)</f>
        <v>0</v>
      </c>
      <c r="Z54" s="77">
        <f>IF(Z24=3,IF(Y37=1,1,0),0)</f>
        <v>0</v>
      </c>
      <c r="AA54" s="74">
        <f>IF(AA24=3,IF(AB37=1,1,0),0)</f>
        <v>0</v>
      </c>
      <c r="AC54" s="77">
        <f>IF(AC24=3,IF(AB37=1,1,0),0)</f>
        <v>0</v>
      </c>
      <c r="AD54" s="74">
        <f>IF(AD24=3,IF(AE37=1,1,0),0)</f>
        <v>0</v>
      </c>
      <c r="AF54" s="77">
        <f>IF(AF24=3,IF(AE37=1,1,0),0)</f>
        <v>0</v>
      </c>
      <c r="AG54" s="74">
        <f>SUM(B54:AF54)</f>
        <v>3</v>
      </c>
    </row>
    <row r="55" spans="1:38" s="74" customFormat="1" ht="12.75" hidden="1" customHeight="1" x14ac:dyDescent="0.25">
      <c r="A55" s="74" t="s">
        <v>78</v>
      </c>
      <c r="B55" s="74">
        <f>IF(B24=4,IF(C37=1,1,0),0)</f>
        <v>0</v>
      </c>
      <c r="D55" s="77">
        <f>IF(D24=4,IF(C37=1,1,0),0)</f>
        <v>0</v>
      </c>
      <c r="E55" s="74">
        <f>IF(E24=4,IF(F37=1,1,0),0)</f>
        <v>0</v>
      </c>
      <c r="G55" s="77">
        <f>IF(G24=4,IF(F37=1,1,0),0)</f>
        <v>1</v>
      </c>
      <c r="H55" s="74">
        <f>IF(H24=4,IF(I37=1,1,0),0)</f>
        <v>0</v>
      </c>
      <c r="J55" s="77">
        <f>IF(J24=4,IF(I37=1,1,0),0)</f>
        <v>1</v>
      </c>
      <c r="K55" s="77"/>
      <c r="L55" s="74">
        <f>IF(L24=4,IF(M37=1,1,0),0)</f>
        <v>0</v>
      </c>
      <c r="N55" s="77">
        <f>IF(N24=4,IF(M37=1,1,0),0)</f>
        <v>0</v>
      </c>
      <c r="O55" s="74">
        <f>IF(O24=4,IF(P37=1,1,0),0)</f>
        <v>0</v>
      </c>
      <c r="Q55" s="77">
        <f>IF(Q24=4,IF(P37=1,1,0),0)</f>
        <v>1</v>
      </c>
      <c r="R55" s="74">
        <f>IF(R24=4,IF(S37=1,1,0),0)</f>
        <v>0</v>
      </c>
      <c r="T55" s="77">
        <f>IF(T24=4,IF(S37=1,1,0),0)</f>
        <v>0</v>
      </c>
      <c r="U55" s="74">
        <f>IF(U24=4,IF(V37=1,1,0),0)</f>
        <v>0</v>
      </c>
      <c r="W55" s="77">
        <f>IF(W24=4,IF(V37=1,1,0),0)</f>
        <v>0</v>
      </c>
      <c r="X55" s="74">
        <f>IF(X24=4,IF(Y37=1,1,0),0)</f>
        <v>0</v>
      </c>
      <c r="Z55" s="77">
        <f>IF(Z24=4,IF(Y37=1,1,0),0)</f>
        <v>0</v>
      </c>
      <c r="AA55" s="74">
        <f>IF(AA24=4,IF(AB37=1,1,0),0)</f>
        <v>0</v>
      </c>
      <c r="AC55" s="77">
        <f>IF(AC24=4,IF(AB37=1,1,0),0)</f>
        <v>0</v>
      </c>
      <c r="AD55" s="74">
        <f>IF(AD24=4,IF(AE37=1,1,0),0)</f>
        <v>0</v>
      </c>
      <c r="AF55" s="77">
        <f>IF(AF24=4,IF(AE37=1,1,0),0)</f>
        <v>0</v>
      </c>
      <c r="AG55" s="74">
        <f>SUM(B55:AF55)</f>
        <v>3</v>
      </c>
    </row>
    <row r="56" spans="1:38" s="74" customFormat="1" ht="12.75" hidden="1" customHeight="1" x14ac:dyDescent="0.25">
      <c r="A56" s="74" t="s">
        <v>79</v>
      </c>
      <c r="B56" s="74">
        <f>IF(B24=5,IF(C37=1,1,0),0)</f>
        <v>0</v>
      </c>
      <c r="D56" s="77">
        <f>IF(D24=5,IF(C37=1,1,0),0)</f>
        <v>0</v>
      </c>
      <c r="E56" s="74">
        <f>IF(E24=5,IF(F37=1,1,0),0)</f>
        <v>0</v>
      </c>
      <c r="G56" s="77">
        <f>IF(G24=5,IF(F37=1,1,0),0)</f>
        <v>0</v>
      </c>
      <c r="H56" s="74">
        <f>IF(H24=5,IF(I37=1,1,0),0)</f>
        <v>0</v>
      </c>
      <c r="J56" s="77">
        <f>IF(J24=5,IF(I37=1,1,0),0)</f>
        <v>0</v>
      </c>
      <c r="K56" s="77"/>
      <c r="L56" s="74">
        <f>IF(L24=5,IF(M37=1,1,0),0)</f>
        <v>0</v>
      </c>
      <c r="N56" s="77">
        <f>IF(N24=5,IF(M37=1,1,0),0)</f>
        <v>0</v>
      </c>
      <c r="O56" s="74">
        <f>IF(O24=5,IF(P37=1,1,0),0)</f>
        <v>0</v>
      </c>
      <c r="Q56" s="77">
        <f>IF(Q24=5,IF(P37=1,1,0),0)</f>
        <v>0</v>
      </c>
      <c r="R56" s="74">
        <f>IF(R24=5,IF(S37=1,1,0),0)</f>
        <v>0</v>
      </c>
      <c r="T56" s="77">
        <f>IF(T24=5,IF(S37=1,1,0),0)</f>
        <v>0</v>
      </c>
      <c r="U56" s="74">
        <f>IF(U24=5,IF(V37=1,1,0),0)</f>
        <v>0</v>
      </c>
      <c r="W56" s="77">
        <f>IF(W24=5,IF(V37=1,1,0),0)</f>
        <v>0</v>
      </c>
      <c r="X56" s="74">
        <f>IF(X24=5,IF(Y37=1,1,0),0)</f>
        <v>0</v>
      </c>
      <c r="Z56" s="77">
        <f>IF(Z24=5,IF(Y37=1,1,0),0)</f>
        <v>0</v>
      </c>
      <c r="AA56" s="74">
        <f>IF(AA24=5,IF(AB37=1,1,0),0)</f>
        <v>0</v>
      </c>
      <c r="AC56" s="77">
        <f>IF(AC24=5,IF(AB37=1,1,0),0)</f>
        <v>0</v>
      </c>
      <c r="AD56" s="74">
        <f>IF(AD24=5,IF(AE37=1,1,0),0)</f>
        <v>0</v>
      </c>
      <c r="AF56" s="77">
        <f>IF(AF24=5,IF(AE37=1,1,0),0)</f>
        <v>0</v>
      </c>
      <c r="AG56" s="74">
        <f>SUM(B56:AF56)</f>
        <v>0</v>
      </c>
    </row>
    <row r="57" spans="1:38" s="74" customFormat="1" ht="38.25" hidden="1" customHeight="1" x14ac:dyDescent="0.25">
      <c r="A57" s="78"/>
      <c r="D57" s="77"/>
      <c r="G57" s="77"/>
      <c r="J57" s="77"/>
      <c r="K57" s="77"/>
      <c r="N57" s="77"/>
      <c r="Q57" s="77"/>
      <c r="T57" s="77"/>
      <c r="W57" s="77"/>
      <c r="Z57" s="77"/>
      <c r="AC57" s="77"/>
      <c r="AF57" s="77"/>
      <c r="AG57" s="78" t="s">
        <v>80</v>
      </c>
      <c r="AH57" s="307"/>
      <c r="AI57" s="307"/>
      <c r="AJ57" s="307"/>
      <c r="AK57" s="307"/>
      <c r="AL57" s="307"/>
    </row>
    <row r="58" spans="1:38" s="74" customFormat="1" ht="12.75" hidden="1" customHeight="1" x14ac:dyDescent="0.25">
      <c r="A58" s="74" t="s">
        <v>75</v>
      </c>
      <c r="B58" s="74">
        <f>IF(B24=1,B44,0)</f>
        <v>0</v>
      </c>
      <c r="D58" s="77">
        <f>IF(D24=1,B44,0)</f>
        <v>0</v>
      </c>
      <c r="E58" s="74">
        <f>IF(E24=1,E44,0)</f>
        <v>31</v>
      </c>
      <c r="G58" s="77">
        <f>IF(G24=1,E44,0)</f>
        <v>0</v>
      </c>
      <c r="H58" s="74">
        <f>IF(H24=1,H44,0)</f>
        <v>0</v>
      </c>
      <c r="J58" s="77">
        <f>IF(J24=1,H44,0)</f>
        <v>0</v>
      </c>
      <c r="K58" s="77"/>
      <c r="L58" s="74">
        <f>IF(L24=1,L44,0)</f>
        <v>32</v>
      </c>
      <c r="N58" s="77">
        <f>IF(N24=1,L44,0)</f>
        <v>0</v>
      </c>
      <c r="O58" s="74">
        <f>IF(O24=1,O44,0)</f>
        <v>0</v>
      </c>
      <c r="Q58" s="77">
        <f>IF(Q24=1,O44,0)</f>
        <v>0</v>
      </c>
      <c r="R58" s="74">
        <f>IF(R24=1,R44,0)</f>
        <v>26</v>
      </c>
      <c r="T58" s="77">
        <f>IF(T24=1,R44,0)</f>
        <v>0</v>
      </c>
      <c r="U58" s="74">
        <f>IF(U24=1,U44,0)</f>
        <v>0</v>
      </c>
      <c r="W58" s="77">
        <f>IF(W24=1,U44,0)</f>
        <v>0</v>
      </c>
      <c r="X58" s="74">
        <f>IF(X24=1,X44,0)</f>
        <v>0</v>
      </c>
      <c r="Z58" s="77">
        <f>IF(Z24=1,X44,0)</f>
        <v>0</v>
      </c>
      <c r="AA58" s="74">
        <f>IF(AA24=1,AA44,0)</f>
        <v>0</v>
      </c>
      <c r="AC58" s="77">
        <f>IF(AC24=1,AA44,0)</f>
        <v>0</v>
      </c>
      <c r="AD58" s="74">
        <f>IF(AD24=1,AD44,0)</f>
        <v>0</v>
      </c>
      <c r="AF58" s="77">
        <f>IF(AF24=1,AD44,0)</f>
        <v>0</v>
      </c>
      <c r="AG58" s="74">
        <f>SUM(B58:AF58)</f>
        <v>89</v>
      </c>
    </row>
    <row r="59" spans="1:38" s="74" customFormat="1" ht="12.75" hidden="1" customHeight="1" x14ac:dyDescent="0.25">
      <c r="A59" s="74" t="s">
        <v>76</v>
      </c>
      <c r="B59" s="74">
        <f>IF(B24=2,B44,0)</f>
        <v>31</v>
      </c>
      <c r="D59" s="77">
        <f>IF(D24=2,B44,0)</f>
        <v>0</v>
      </c>
      <c r="E59" s="74">
        <f>IF(E24=2,E44,0)</f>
        <v>0</v>
      </c>
      <c r="G59" s="77">
        <f>IF(G24=2,E44,0)</f>
        <v>0</v>
      </c>
      <c r="H59" s="74">
        <f>IF(H24=2,H44,0)</f>
        <v>34</v>
      </c>
      <c r="J59" s="77">
        <f>IF(J24=2,H44,0)</f>
        <v>0</v>
      </c>
      <c r="K59" s="77"/>
      <c r="L59" s="74">
        <f>IF(L24=2,L44,0)</f>
        <v>0</v>
      </c>
      <c r="N59" s="77">
        <f>IF(N24=2,L44,0)</f>
        <v>0</v>
      </c>
      <c r="O59" s="74">
        <f>IF(O24=2,O44,0)</f>
        <v>0</v>
      </c>
      <c r="Q59" s="77">
        <f>IF(Q24=2,O44,0)</f>
        <v>0</v>
      </c>
      <c r="R59" s="74">
        <f>IF(R24=2,R44,0)</f>
        <v>0</v>
      </c>
      <c r="T59" s="77">
        <f>IF(T24=2,R44,0)</f>
        <v>26</v>
      </c>
      <c r="U59" s="74">
        <f>IF(U24=2,U44,0)</f>
        <v>0</v>
      </c>
      <c r="W59" s="77">
        <f>IF(W24=2,U44,0)</f>
        <v>0</v>
      </c>
      <c r="X59" s="74">
        <f>IF(X24=2,X44,0)</f>
        <v>0</v>
      </c>
      <c r="Z59" s="77">
        <f>IF(Z24=2,X44,0)</f>
        <v>0</v>
      </c>
      <c r="AA59" s="74">
        <f>IF(AA24=2,AA44,0)</f>
        <v>0</v>
      </c>
      <c r="AC59" s="77">
        <f>IF(AC24=2,AA44,0)</f>
        <v>0</v>
      </c>
      <c r="AD59" s="74">
        <f>IF(AD24=2,AD44,0)</f>
        <v>0</v>
      </c>
      <c r="AF59" s="77">
        <f>IF(AF24=2,AD44,0)</f>
        <v>0</v>
      </c>
      <c r="AG59" s="74">
        <f>SUM(B59:AF59)</f>
        <v>91</v>
      </c>
    </row>
    <row r="60" spans="1:38" s="74" customFormat="1" ht="12.75" hidden="1" customHeight="1" x14ac:dyDescent="0.25">
      <c r="A60" s="74" t="s">
        <v>77</v>
      </c>
      <c r="B60" s="74">
        <f>IF(B24=3,B44,0)</f>
        <v>0</v>
      </c>
      <c r="D60" s="77">
        <f>IF(D24=3,B44,0)</f>
        <v>31</v>
      </c>
      <c r="E60" s="74">
        <f>IF(E24=3,E44,0)</f>
        <v>0</v>
      </c>
      <c r="G60" s="77">
        <f>IF(G24=3,E44,0)</f>
        <v>0</v>
      </c>
      <c r="H60" s="74">
        <f>IF(H24=3,H44,0)</f>
        <v>0</v>
      </c>
      <c r="J60" s="77">
        <f>IF(J24=3,H44,0)</f>
        <v>0</v>
      </c>
      <c r="K60" s="77"/>
      <c r="L60" s="74">
        <f>IF(L24=3,L44,0)</f>
        <v>0</v>
      </c>
      <c r="N60" s="77">
        <f>IF(N24=3,L44,0)</f>
        <v>32</v>
      </c>
      <c r="O60" s="74">
        <f>IF(O24=3,O44,0)</f>
        <v>37</v>
      </c>
      <c r="Q60" s="77">
        <f>IF(Q24=3,O44,0)</f>
        <v>0</v>
      </c>
      <c r="R60" s="74">
        <f>IF(R24=3,R44,0)</f>
        <v>0</v>
      </c>
      <c r="T60" s="77">
        <f>IF(T24=3,R44,0)</f>
        <v>0</v>
      </c>
      <c r="U60" s="74">
        <f>IF(U24=3,U44,0)</f>
        <v>0</v>
      </c>
      <c r="W60" s="77">
        <f>IF(W24=3,U44,0)</f>
        <v>0</v>
      </c>
      <c r="X60" s="74">
        <f>IF(X24=3,X44,0)</f>
        <v>0</v>
      </c>
      <c r="Z60" s="77">
        <f>IF(Z24=3,X44,0)</f>
        <v>0</v>
      </c>
      <c r="AA60" s="74">
        <f>IF(AA24=3,AA44,0)</f>
        <v>0</v>
      </c>
      <c r="AC60" s="77">
        <f>IF(AC24=3,AA44,0)</f>
        <v>0</v>
      </c>
      <c r="AD60" s="74">
        <f>IF(AD24=3,AD44,0)</f>
        <v>0</v>
      </c>
      <c r="AF60" s="77">
        <f>IF(AF24=3,AD44,0)</f>
        <v>0</v>
      </c>
      <c r="AG60" s="74">
        <f>SUM(B60:AF60)</f>
        <v>100</v>
      </c>
    </row>
    <row r="61" spans="1:38" s="74" customFormat="1" ht="12.75" hidden="1" customHeight="1" x14ac:dyDescent="0.25">
      <c r="A61" s="74" t="s">
        <v>78</v>
      </c>
      <c r="B61" s="74">
        <f>IF(B24=4,B44,0)</f>
        <v>0</v>
      </c>
      <c r="D61" s="77">
        <f>IF(D24=4,B44,0)</f>
        <v>0</v>
      </c>
      <c r="E61" s="74">
        <f>IF(E24=4,E44,0)</f>
        <v>0</v>
      </c>
      <c r="G61" s="77">
        <f>IF(G24=4,E44,0)</f>
        <v>31</v>
      </c>
      <c r="H61" s="74">
        <f>IF(H24=4,H44,0)</f>
        <v>0</v>
      </c>
      <c r="J61" s="77">
        <f>IF(J24=4,H44,0)</f>
        <v>34</v>
      </c>
      <c r="K61" s="77"/>
      <c r="L61" s="74">
        <f>IF(L24=4,L44,0)</f>
        <v>0</v>
      </c>
      <c r="N61" s="77">
        <f>IF(N24=4,L44,0)</f>
        <v>0</v>
      </c>
      <c r="O61" s="74">
        <f>IF(O24=4,O44,0)</f>
        <v>0</v>
      </c>
      <c r="Q61" s="77">
        <f>IF(Q24=4,O44,0)</f>
        <v>37</v>
      </c>
      <c r="R61" s="74">
        <f>IF(R24=4,R44,0)</f>
        <v>0</v>
      </c>
      <c r="T61" s="77">
        <f>IF(T24=4,R44,0)</f>
        <v>0</v>
      </c>
      <c r="U61" s="74">
        <f>IF(U24=4,U44,0)</f>
        <v>0</v>
      </c>
      <c r="W61" s="77">
        <f>IF(W24=4,U44,0)</f>
        <v>0</v>
      </c>
      <c r="X61" s="74">
        <f>IF(X24=4,X44,0)</f>
        <v>0</v>
      </c>
      <c r="Z61" s="77">
        <f>IF(Z24=4,X44,0)</f>
        <v>0</v>
      </c>
      <c r="AA61" s="74">
        <f>IF(AA24=4,AA44,0)</f>
        <v>0</v>
      </c>
      <c r="AC61" s="77">
        <f>IF(AC24=4,AA44,0)</f>
        <v>0</v>
      </c>
      <c r="AD61" s="74">
        <f>IF(AD24=4,AD44,0)</f>
        <v>0</v>
      </c>
      <c r="AF61" s="77">
        <f>IF(AF24=4,AD44,0)</f>
        <v>0</v>
      </c>
      <c r="AG61" s="74">
        <f>SUM(B61:AF61)</f>
        <v>102</v>
      </c>
    </row>
    <row r="62" spans="1:38" s="74" customFormat="1" ht="12.75" hidden="1" customHeight="1" x14ac:dyDescent="0.25">
      <c r="A62" s="74" t="s">
        <v>79</v>
      </c>
      <c r="B62" s="74">
        <f>IF(B24=5,B44,0)</f>
        <v>0</v>
      </c>
      <c r="D62" s="77">
        <f>IF(D24=5,B44,0)</f>
        <v>0</v>
      </c>
      <c r="E62" s="74">
        <f>IF(E24=5,E44,0)</f>
        <v>0</v>
      </c>
      <c r="G62" s="77">
        <f>IF(G24=5,E44,0)</f>
        <v>0</v>
      </c>
      <c r="H62" s="74">
        <f>IF(H24=5,H44,0)</f>
        <v>0</v>
      </c>
      <c r="J62" s="77">
        <f>IF(J24=5,H44,0)</f>
        <v>0</v>
      </c>
      <c r="K62" s="77"/>
      <c r="L62" s="74">
        <f>IF(L24=5,L44,0)</f>
        <v>0</v>
      </c>
      <c r="N62" s="77">
        <f>IF(N24=5,L44,0)</f>
        <v>0</v>
      </c>
      <c r="O62" s="74">
        <f>IF(O24=5,O44,0)</f>
        <v>0</v>
      </c>
      <c r="Q62" s="77">
        <f>IF(Q24=5,O44,0)</f>
        <v>0</v>
      </c>
      <c r="R62" s="74">
        <f>IF(R24=5,R44,0)</f>
        <v>0</v>
      </c>
      <c r="T62" s="77">
        <f>IF(T24=5,R44,0)</f>
        <v>0</v>
      </c>
      <c r="U62" s="74">
        <f>IF(U24=5,U44,0)</f>
        <v>0</v>
      </c>
      <c r="W62" s="77">
        <f>IF(W24=5,U44,0)</f>
        <v>0</v>
      </c>
      <c r="X62" s="74">
        <f>IF(X24=5,X44,0)</f>
        <v>0</v>
      </c>
      <c r="Z62" s="77">
        <f>IF(Z24=5,X44,0)</f>
        <v>0</v>
      </c>
      <c r="AA62" s="74">
        <f>IF(AA24=5,AA44,0)</f>
        <v>0</v>
      </c>
      <c r="AC62" s="77">
        <f>IF(AC24=5,AA44,0)</f>
        <v>0</v>
      </c>
      <c r="AD62" s="74">
        <f>IF(AD24=5,AD44,0)</f>
        <v>0</v>
      </c>
      <c r="AF62" s="77">
        <f>IF(AF24=5,AD44,0)</f>
        <v>0</v>
      </c>
      <c r="AG62" s="74">
        <f>SUM(B62:AF62)</f>
        <v>0</v>
      </c>
    </row>
    <row r="63" spans="1:38" s="74" customFormat="1" ht="38.25" hidden="1" customHeight="1" x14ac:dyDescent="0.25">
      <c r="A63" s="74" t="s">
        <v>81</v>
      </c>
      <c r="D63" s="77"/>
      <c r="G63" s="77"/>
      <c r="J63" s="77"/>
      <c r="K63" s="77"/>
      <c r="N63" s="77"/>
      <c r="Q63" s="77"/>
      <c r="T63" s="77"/>
      <c r="W63" s="77"/>
      <c r="Z63" s="77"/>
      <c r="AC63" s="77"/>
      <c r="AF63" s="77"/>
      <c r="AG63" s="78" t="s">
        <v>82</v>
      </c>
      <c r="AH63" s="74" t="s">
        <v>83</v>
      </c>
    </row>
    <row r="64" spans="1:38" s="74" customFormat="1" ht="12.75" hidden="1" customHeight="1" x14ac:dyDescent="0.25">
      <c r="A64" s="74" t="s">
        <v>69</v>
      </c>
      <c r="B64" s="74">
        <f>IF(B24=1,SUMIF(B31:B35,"&gt;0"),0)</f>
        <v>0</v>
      </c>
      <c r="D64" s="77">
        <f>IF(D24=1,SUMIF(D31:D35,"&gt;0"),0)</f>
        <v>0</v>
      </c>
      <c r="E64" s="74">
        <f>IF(E24=1,SUMIF(E31:E35,"&gt;0"),0)</f>
        <v>1</v>
      </c>
      <c r="G64" s="77">
        <f>IF(G24=1,SUMIF(G31:G35,"&gt;0"),0)</f>
        <v>0</v>
      </c>
      <c r="H64" s="74">
        <f>IF(H24=1,SUMIF(H31:H35,"&gt;0"),0)</f>
        <v>0</v>
      </c>
      <c r="J64" s="77">
        <f>IF(J24=1,SUMIF(J31:J35,"&gt;0"),0)</f>
        <v>0</v>
      </c>
      <c r="K64" s="77"/>
      <c r="L64" s="74">
        <f>IF(L24=1,SUMIF(L31:L35,"&gt;0"),0)</f>
        <v>0</v>
      </c>
      <c r="N64" s="77">
        <f>IF(N24=1,SUMIF(N31:N35,"&gt;0"),0)</f>
        <v>0</v>
      </c>
      <c r="O64" s="74">
        <f>IF(O24=1,SUMIF(O31:O35,"&gt;0"),0)</f>
        <v>0</v>
      </c>
      <c r="Q64" s="77">
        <f>IF(Q24=1,SUMIF(Q31:Q35,"&gt;0"),0)</f>
        <v>0</v>
      </c>
      <c r="R64" s="74">
        <f>IF(R24=1,SUMIF(R31:R35,"&gt;0"),0)</f>
        <v>1</v>
      </c>
      <c r="T64" s="77">
        <f>IF(T24=1,SUMIF(T31:T35,"&gt;0"),0)</f>
        <v>0</v>
      </c>
      <c r="U64" s="74">
        <f>IF(U24=1,SUMIF(U31:U35,"&gt;0"),0)</f>
        <v>0</v>
      </c>
      <c r="W64" s="77">
        <f>IF(W24=1,SUMIF(W31:W35,"&gt;0"),0)</f>
        <v>0</v>
      </c>
      <c r="X64" s="74">
        <f>IF(X24=1,SUMIF(X31:X35,"&gt;0"),0)</f>
        <v>0</v>
      </c>
      <c r="Z64" s="77">
        <f>IF(Z24=1,SUMIF(Z31:Z35,"&gt;0"),0)</f>
        <v>0</v>
      </c>
      <c r="AA64" s="74">
        <f>IF(AA24=1,SUMIF(AA31:AA35,"&gt;0"),0)</f>
        <v>0</v>
      </c>
      <c r="AC64" s="77">
        <f>IF(AC24=1,SUMIF(AC31:AC35,"&gt;0"),0)</f>
        <v>0</v>
      </c>
      <c r="AD64" s="74">
        <f>IF(AD24=1,SUMIF(AD31:AD35,"&gt;0"),0)</f>
        <v>0</v>
      </c>
      <c r="AF64" s="77">
        <f>IF(AF24=1,SUMIF(AF31:AF35,"&gt;0"),0)</f>
        <v>0</v>
      </c>
      <c r="AG64" s="74">
        <f>SUM(B64:AF64)</f>
        <v>2</v>
      </c>
      <c r="AH64" s="74">
        <f>AG72-AG64</f>
        <v>1</v>
      </c>
    </row>
    <row r="65" spans="1:81" s="74" customFormat="1" ht="12.75" hidden="1" customHeight="1" x14ac:dyDescent="0.25">
      <c r="A65" s="74" t="s">
        <v>70</v>
      </c>
      <c r="B65" s="74">
        <f>IF(B24=2,SUMIF(B31:B35,"&gt;0"),0)</f>
        <v>0</v>
      </c>
      <c r="D65" s="77">
        <f>IF(D24=2,SUMIF(D31:D35,"&gt;0"),0)</f>
        <v>0</v>
      </c>
      <c r="E65" s="74">
        <f>IF(E24=2,SUMIF(E31:E35,"&gt;0"),0)</f>
        <v>0</v>
      </c>
      <c r="G65" s="77">
        <f>IF(G24=2,SUMIF(G31:G35,"&gt;0"),0)</f>
        <v>0</v>
      </c>
      <c r="H65" s="74">
        <f>IF(H24=2,SUMIF(H31:H35,"&gt;0"),0)</f>
        <v>1</v>
      </c>
      <c r="J65" s="77">
        <f>IF(J24=2,SUMIF(J31:J35,"&gt;0"),0)</f>
        <v>0</v>
      </c>
      <c r="K65" s="77"/>
      <c r="L65" s="74">
        <f>IF(L24=2,SUMIF(L31:L35,"&gt;0"),0)</f>
        <v>0</v>
      </c>
      <c r="N65" s="77">
        <f>IF(N24=2,SUMIF(N31:N35,"&gt;0"),0)</f>
        <v>0</v>
      </c>
      <c r="O65" s="74">
        <f>IF(O24=2,SUMIF(O31:O35,"&gt;0"),0)</f>
        <v>0</v>
      </c>
      <c r="Q65" s="77">
        <f>IF(Q24=2,SUMIF(Q31:Q35,"&gt;0"),0)</f>
        <v>0</v>
      </c>
      <c r="R65" s="74">
        <f>IF(R24=2,SUMIF(R31:R35,"&gt;0"),0)</f>
        <v>0</v>
      </c>
      <c r="T65" s="77">
        <f>IF(T24=2,SUMIF(T31:T35,"&gt;0"),0)</f>
        <v>0</v>
      </c>
      <c r="U65" s="74">
        <f>IF(U24=2,SUMIF(U31:U35,"&gt;0"),0)</f>
        <v>0</v>
      </c>
      <c r="W65" s="77">
        <f>IF(W24=2,SUMIF(W31:W35,"&gt;0"),0)</f>
        <v>0</v>
      </c>
      <c r="X65" s="74">
        <f>IF(X24=2,SUMIF(X31:X35,"&gt;0"),0)</f>
        <v>0</v>
      </c>
      <c r="Z65" s="77">
        <f>IF(Z24=2,SUMIF(Z31:Z35,"&gt;0"),0)</f>
        <v>0</v>
      </c>
      <c r="AA65" s="74">
        <f>IF(AA24=2,SUMIF(AA31:AA35,"&gt;0"),0)</f>
        <v>0</v>
      </c>
      <c r="AC65" s="77">
        <f>IF(AC24=2,SUMIF(AC31:AC35,"&gt;0"),0)</f>
        <v>0</v>
      </c>
      <c r="AD65" s="74">
        <f>IF(AD24=2,SUMIF(AD31:AD35,"&gt;0"),0)</f>
        <v>0</v>
      </c>
      <c r="AF65" s="77">
        <f>IF(AF24=2,SUMIF(AF31:AF35,"&gt;0"),0)</f>
        <v>0</v>
      </c>
      <c r="AG65" s="74">
        <f>SUM(B65:AF65)</f>
        <v>1</v>
      </c>
      <c r="AH65" s="74">
        <f>AG73-AG65</f>
        <v>2</v>
      </c>
    </row>
    <row r="66" spans="1:81" s="74" customFormat="1" ht="12.75" hidden="1" customHeight="1" x14ac:dyDescent="0.25">
      <c r="A66" s="74" t="s">
        <v>71</v>
      </c>
      <c r="B66" s="74">
        <f>IF(B24=3,SUMIF(B31:B35,"&gt;0"),0)</f>
        <v>0</v>
      </c>
      <c r="D66" s="77">
        <f>IF(D24=3,SUMIF(D31:D35,"&gt;0"),0)</f>
        <v>1</v>
      </c>
      <c r="E66" s="74">
        <f>IF(E24=3,SUMIF(E31:E35,"&gt;0"),0)</f>
        <v>0</v>
      </c>
      <c r="G66" s="77">
        <f>IF(G24=3,SUMIF(G31:G35,"&gt;0"),0)</f>
        <v>0</v>
      </c>
      <c r="H66" s="74">
        <f>IF(H24=3,SUMIF(H31:H35,"&gt;0"),0)</f>
        <v>0</v>
      </c>
      <c r="J66" s="77">
        <f>IF(J24=3,SUMIF(J31:J35,"&gt;0"),0)</f>
        <v>0</v>
      </c>
      <c r="K66" s="77"/>
      <c r="L66" s="74">
        <f>IF(L24=3,SUMIF(L31:L35,"&gt;0"),0)</f>
        <v>0</v>
      </c>
      <c r="N66" s="77">
        <f>IF(N24=3,SUMIF(N31:N35,"&gt;0"),0)</f>
        <v>1</v>
      </c>
      <c r="O66" s="74">
        <f>IF(O24=3,SUMIF(O31:O35,"&gt;0"),0)</f>
        <v>1</v>
      </c>
      <c r="Q66" s="77">
        <f>IF(Q24=3,SUMIF(Q31:Q35,"&gt;0"),0)</f>
        <v>0</v>
      </c>
      <c r="R66" s="74">
        <f>IF(R24=3,SUMIF(R31:R35,"&gt;0"),0)</f>
        <v>0</v>
      </c>
      <c r="T66" s="77">
        <f>IF(T24=3,SUMIF(T31:T35,"&gt;0"),0)</f>
        <v>0</v>
      </c>
      <c r="U66" s="74">
        <f>IF(U24=3,SUMIF(U31:U35,"&gt;0"),0)</f>
        <v>0</v>
      </c>
      <c r="W66" s="77">
        <f>IF(W24=3,SUMIF(W31:W35,"&gt;0"),0)</f>
        <v>0</v>
      </c>
      <c r="X66" s="74">
        <f>IF(X24=3,SUMIF(X31:X35,"&gt;0"),0)</f>
        <v>0</v>
      </c>
      <c r="Z66" s="77">
        <f>IF(Z24=3,SUMIF(Z31:Z35,"&gt;0"),0)</f>
        <v>0</v>
      </c>
      <c r="AA66" s="74">
        <f>IF(AA24=3,SUMIF(AA31:AA35,"&gt;0"),0)</f>
        <v>0</v>
      </c>
      <c r="AC66" s="77">
        <f>IF(AC24=3,SUMIF(AC31:AC35,"&gt;0"),0)</f>
        <v>0</v>
      </c>
      <c r="AD66" s="74">
        <f>IF(AD24=3,SUMIF(AD31:AD35,"&gt;0"),0)</f>
        <v>0</v>
      </c>
      <c r="AF66" s="77">
        <f>IF(AF24=3,SUMIF(AF31:AF35,"&gt;0"),0)</f>
        <v>0</v>
      </c>
      <c r="AG66" s="74">
        <f>SUM(B66:AF66)</f>
        <v>3</v>
      </c>
      <c r="AH66" s="74">
        <f>AG74-AG66</f>
        <v>0</v>
      </c>
    </row>
    <row r="67" spans="1:81" s="74" customFormat="1" ht="12.75" hidden="1" customHeight="1" x14ac:dyDescent="0.25">
      <c r="A67" s="74" t="s">
        <v>72</v>
      </c>
      <c r="B67" s="74">
        <f>IF(B24=4,SUMIF(B31:B35,"&gt;0"),0)</f>
        <v>0</v>
      </c>
      <c r="D67" s="77">
        <f>IF(D24=4,SUMIF(D31:D35,"&gt;0"),0)</f>
        <v>0</v>
      </c>
      <c r="E67" s="74">
        <f>IF(E24=4,SUMIF(E31:E35,"&gt;0"),0)</f>
        <v>0</v>
      </c>
      <c r="G67" s="77">
        <f>IF(G24=4,SUMIF(G31:G35,"&gt;0"),0)</f>
        <v>0</v>
      </c>
      <c r="H67" s="74">
        <f>IF(H24=4,SUMIF(H31:H35,"&gt;0"),0)</f>
        <v>0</v>
      </c>
      <c r="J67" s="77">
        <f>IF(J24=4,SUMIF(J31:J35,"&gt;0"),0)</f>
        <v>0</v>
      </c>
      <c r="K67" s="77"/>
      <c r="L67" s="74">
        <f>IF(L24=4,SUMIF(L31:L35,"&gt;0"),0)</f>
        <v>0</v>
      </c>
      <c r="N67" s="77">
        <f>IF(N24=4,SUMIF(N31:N35,"&gt;0"),0)</f>
        <v>0</v>
      </c>
      <c r="O67" s="74">
        <f>IF(O24=4,SUMIF(O31:O35,"&gt;0"),0)</f>
        <v>0</v>
      </c>
      <c r="Q67" s="77">
        <f>IF(Q24=4,SUMIF(Q31:Q35,"&gt;0"),0)</f>
        <v>0</v>
      </c>
      <c r="R67" s="74">
        <f>IF(R24=4,SUMIF(R31:R35,"&gt;0"),0)</f>
        <v>0</v>
      </c>
      <c r="T67" s="77">
        <f>IF(T24=4,SUMIF(T31:T35,"&gt;0"),0)</f>
        <v>0</v>
      </c>
      <c r="U67" s="74">
        <f>IF(U24=4,SUMIF(U31:U35,"&gt;0"),0)</f>
        <v>0</v>
      </c>
      <c r="W67" s="77">
        <f>IF(W24=4,SUMIF(W31:W35,"&gt;0"),0)</f>
        <v>0</v>
      </c>
      <c r="X67" s="74">
        <f>IF(X24=4,SUMIF(X31:X35,"&gt;0"),0)</f>
        <v>0</v>
      </c>
      <c r="Z67" s="77">
        <f>IF(Z24=4,SUMIF(Z31:Z35,"&gt;0"),0)</f>
        <v>0</v>
      </c>
      <c r="AA67" s="74">
        <f>IF(AA24=4,SUMIF(AA31:AA35,"&gt;0"),0)</f>
        <v>0</v>
      </c>
      <c r="AC67" s="77">
        <f>IF(AC24=4,SUMIF(AC31:AC35,"&gt;0"),0)</f>
        <v>0</v>
      </c>
      <c r="AD67" s="74">
        <f>IF(AD24=4,SUMIF(AD31:AD35,"&gt;0"),0)</f>
        <v>0</v>
      </c>
      <c r="AF67" s="77">
        <f>IF(AF24=4,SUMIF(AF31:AF35,"&gt;0"),0)</f>
        <v>0</v>
      </c>
      <c r="AG67" s="74">
        <f>SUM(B67:AF67)</f>
        <v>0</v>
      </c>
      <c r="AH67" s="74">
        <f>AG75-AG67</f>
        <v>3</v>
      </c>
    </row>
    <row r="68" spans="1:81" s="74" customFormat="1" ht="12.75" hidden="1" customHeight="1" x14ac:dyDescent="0.25">
      <c r="A68" s="74" t="s">
        <v>73</v>
      </c>
      <c r="B68" s="74">
        <f>IF(B24=5,SUMIF(B31:B35,"&gt;0"),0)</f>
        <v>0</v>
      </c>
      <c r="D68" s="77">
        <f>IF(D24=5,SUMIF(D31:D35,"&gt;0"),0)</f>
        <v>0</v>
      </c>
      <c r="E68" s="74">
        <f>IF(E24=5,SUMIF(E31:E35,"&gt;0"),0)</f>
        <v>0</v>
      </c>
      <c r="G68" s="77">
        <f>IF(G24=5,SUMIF(G31:G35,"&gt;0"),0)</f>
        <v>0</v>
      </c>
      <c r="H68" s="74">
        <f>IF(H24=5,SUMIF(H31:H35,"&gt;0"),0)</f>
        <v>0</v>
      </c>
      <c r="J68" s="77">
        <f>IF(J24=5,SUMIF(J31:J35,"&gt;0"),0)</f>
        <v>0</v>
      </c>
      <c r="K68" s="77"/>
      <c r="L68" s="74">
        <f>IF(L24=5,SUMIF(L31:L35,"&gt;0"),0)</f>
        <v>0</v>
      </c>
      <c r="N68" s="77">
        <f>IF(N24=5,SUMIF(N31:N35,"&gt;0"),0)</f>
        <v>0</v>
      </c>
      <c r="O68" s="74">
        <f>IF(O24=5,SUMIF(O31:O35,"&gt;0"),0)</f>
        <v>0</v>
      </c>
      <c r="Q68" s="77">
        <f>IF(Q24=5,SUMIF(Q31:Q35,"&gt;0"),0)</f>
        <v>0</v>
      </c>
      <c r="R68" s="74">
        <f>IF(R24=5,SUMIF(R31:R35,"&gt;0"),0)</f>
        <v>0</v>
      </c>
      <c r="T68" s="77">
        <f>IF(T24=5,SUMIF(T31:T35,"&gt;0"),0)</f>
        <v>0</v>
      </c>
      <c r="U68" s="74">
        <f>IF(U24=5,SUMIF(U31:U35,"&gt;0"),0)</f>
        <v>0</v>
      </c>
      <c r="W68" s="77">
        <f>IF(W24=5,SUMIF(W31:W35,"&gt;0"),0)</f>
        <v>0</v>
      </c>
      <c r="X68" s="74">
        <f>IF(X24=5,SUMIF(X31:X35,"&gt;0"),0)</f>
        <v>0</v>
      </c>
      <c r="Z68" s="77">
        <f>IF(Z24=5,SUMIF(Z31:Z35,"&gt;0"),0)</f>
        <v>0</v>
      </c>
      <c r="AA68" s="74">
        <f>IF(AA24=5,SUMIF(AA31:AA35,"&gt;0"),0)</f>
        <v>0</v>
      </c>
      <c r="AC68" s="77">
        <f>IF(AC24=5,SUMIF(AC31:AC35,"&gt;0"),0)</f>
        <v>0</v>
      </c>
      <c r="AD68" s="74">
        <f>IF(AD24=5,SUMIF(AD31:AD35,"&gt;0"),0)</f>
        <v>0</v>
      </c>
      <c r="AF68" s="77">
        <f>IF(AF24=5,SUMIF(AF31:AF35,"&gt;0"),0)</f>
        <v>0</v>
      </c>
      <c r="AG68" s="74">
        <f>SUM(B68:AF68)</f>
        <v>0</v>
      </c>
      <c r="AH68" s="74">
        <f>AG76-AG68</f>
        <v>0</v>
      </c>
    </row>
    <row r="69" spans="1:81" s="74" customFormat="1" ht="12.75" hidden="1" customHeight="1" x14ac:dyDescent="0.25">
      <c r="D69" s="77"/>
      <c r="G69" s="77"/>
      <c r="J69" s="77"/>
      <c r="K69" s="77"/>
      <c r="N69" s="77"/>
      <c r="Q69" s="77"/>
      <c r="T69" s="77"/>
      <c r="W69" s="77"/>
      <c r="Z69" s="77"/>
      <c r="AC69" s="77"/>
      <c r="AF69" s="77"/>
    </row>
    <row r="70" spans="1:81" s="74" customFormat="1" ht="12.75" hidden="1" customHeight="1" x14ac:dyDescent="0.25">
      <c r="D70" s="77"/>
      <c r="G70" s="77"/>
      <c r="J70" s="77"/>
      <c r="K70" s="77"/>
      <c r="N70" s="77"/>
      <c r="Q70" s="77"/>
      <c r="T70" s="77"/>
      <c r="W70" s="77"/>
      <c r="Z70" s="77"/>
      <c r="AC70" s="77"/>
      <c r="AF70" s="77"/>
    </row>
    <row r="71" spans="1:81" s="74" customFormat="1" ht="51" hidden="1" customHeight="1" x14ac:dyDescent="0.25">
      <c r="A71" s="78" t="s">
        <v>84</v>
      </c>
      <c r="C71" s="74">
        <f>SUMIF(B64:D68,"&gt;0")</f>
        <v>1</v>
      </c>
      <c r="D71" s="77"/>
      <c r="F71" s="74">
        <f>SUMIF(E64:G68,"&gt;0")</f>
        <v>1</v>
      </c>
      <c r="G71" s="77"/>
      <c r="I71" s="74">
        <f>SUMIF(H64:J68,"&gt;0")</f>
        <v>1</v>
      </c>
      <c r="J71" s="77"/>
      <c r="K71" s="77"/>
      <c r="M71" s="74">
        <f>SUMIF(L64:N68,"&gt;0")</f>
        <v>1</v>
      </c>
      <c r="N71" s="77"/>
      <c r="P71" s="74">
        <f>SUMIF(O64:Q68,"&gt;0")</f>
        <v>1</v>
      </c>
      <c r="Q71" s="77"/>
      <c r="S71" s="74">
        <f>SUMIF(R64:T68,"&gt;0")</f>
        <v>1</v>
      </c>
      <c r="T71" s="77"/>
      <c r="V71" s="74">
        <f>SUMIF(U64:W68,"&gt;0")</f>
        <v>0</v>
      </c>
      <c r="W71" s="77"/>
      <c r="Y71" s="74">
        <f>SUMIF(X64:Z68,"&gt;0")</f>
        <v>0</v>
      </c>
      <c r="Z71" s="77"/>
      <c r="AB71" s="74">
        <f>SUMIF(AA64:AC68,"&gt;0")</f>
        <v>0</v>
      </c>
      <c r="AC71" s="77"/>
      <c r="AE71" s="74">
        <f>SUMIF(AD64:AF68,"&gt;0")</f>
        <v>0</v>
      </c>
      <c r="AF71" s="77"/>
      <c r="AG71" s="78" t="s">
        <v>85</v>
      </c>
    </row>
    <row r="72" spans="1:81" s="74" customFormat="1" ht="12.75" hidden="1" customHeight="1" x14ac:dyDescent="0.25">
      <c r="A72" s="74" t="s">
        <v>75</v>
      </c>
      <c r="B72" s="74">
        <f>IF(B24=1,C71,0)</f>
        <v>0</v>
      </c>
      <c r="D72" s="77">
        <f>IF(D24=1,C71,0)</f>
        <v>0</v>
      </c>
      <c r="E72" s="74">
        <f>IF(E24=1,F71,0)</f>
        <v>1</v>
      </c>
      <c r="G72" s="77">
        <f>IF(G24=1,F71,0)</f>
        <v>0</v>
      </c>
      <c r="H72" s="74">
        <f>IF(H24=1,I71,0)</f>
        <v>0</v>
      </c>
      <c r="J72" s="77">
        <f>IF(J24=1,I71,0)</f>
        <v>0</v>
      </c>
      <c r="K72" s="77"/>
      <c r="L72" s="74">
        <f>IF(L24=1,M71,0)</f>
        <v>1</v>
      </c>
      <c r="N72" s="77">
        <f>IF(N24=1,M71,0)</f>
        <v>0</v>
      </c>
      <c r="O72" s="74">
        <f>IF(O24=1,P71,0)</f>
        <v>0</v>
      </c>
      <c r="Q72" s="77">
        <f>IF(Q24=1,P71,0)</f>
        <v>0</v>
      </c>
      <c r="R72" s="74">
        <f>IF(R24=1,S71,0)</f>
        <v>1</v>
      </c>
      <c r="T72" s="77">
        <f>IF(T24=1,S71,0)</f>
        <v>0</v>
      </c>
      <c r="U72" s="74">
        <f>IF(U24=1,V71,0)</f>
        <v>0</v>
      </c>
      <c r="W72" s="77">
        <f>IF(W24=1,V71,0)</f>
        <v>0</v>
      </c>
      <c r="X72" s="74">
        <f>IF(X24=1,Y71,0)</f>
        <v>0</v>
      </c>
      <c r="Z72" s="77">
        <f>IF(Z24=1,Y71,0)</f>
        <v>0</v>
      </c>
      <c r="AA72" s="74">
        <f>IF(AA24=1,AB71,0)</f>
        <v>0</v>
      </c>
      <c r="AC72" s="77">
        <f>IF(AC24=1,AB71,0)</f>
        <v>0</v>
      </c>
      <c r="AD72" s="74">
        <f>IF(AD24=1,AE71,0)</f>
        <v>0</v>
      </c>
      <c r="AF72" s="77">
        <f>IF(AF24=1,AE71,0)</f>
        <v>0</v>
      </c>
      <c r="AG72" s="74">
        <f>SUM(B72:AF72)</f>
        <v>3</v>
      </c>
    </row>
    <row r="73" spans="1:81" s="74" customFormat="1" ht="12.75" hidden="1" customHeight="1" x14ac:dyDescent="0.25">
      <c r="A73" s="74" t="s">
        <v>76</v>
      </c>
      <c r="B73" s="74">
        <f>IF(B24=2,C71,0)</f>
        <v>1</v>
      </c>
      <c r="D73" s="77">
        <f>IF(D24=2,C71,0)</f>
        <v>0</v>
      </c>
      <c r="E73" s="74">
        <f>IF(E24=2,F71,0)</f>
        <v>0</v>
      </c>
      <c r="G73" s="77">
        <f>IF(G24=2,F71,0)</f>
        <v>0</v>
      </c>
      <c r="H73" s="74">
        <f>IF(H24=2,I71,0)</f>
        <v>1</v>
      </c>
      <c r="J73" s="77">
        <f>IF(J24=2,I71,0)</f>
        <v>0</v>
      </c>
      <c r="K73" s="77"/>
      <c r="L73" s="74">
        <f>IF(L24=2,M71,0)</f>
        <v>0</v>
      </c>
      <c r="N73" s="77">
        <f>IF(N24=2,M71,0)</f>
        <v>0</v>
      </c>
      <c r="O73" s="74">
        <f>IF(O24=2,P71,0)</f>
        <v>0</v>
      </c>
      <c r="Q73" s="77">
        <f>IF(Q24=2,P71,0)</f>
        <v>0</v>
      </c>
      <c r="R73" s="74">
        <f>IF(R24=2,S71,0)</f>
        <v>0</v>
      </c>
      <c r="T73" s="77">
        <f>IF(T24=2,S71,0)</f>
        <v>1</v>
      </c>
      <c r="U73" s="74">
        <f>IF(U24=2,V71,0)</f>
        <v>0</v>
      </c>
      <c r="W73" s="77">
        <f>IF(W24=2,V71,0)</f>
        <v>0</v>
      </c>
      <c r="X73" s="74">
        <f>IF(X24=2,Y71,0)</f>
        <v>0</v>
      </c>
      <c r="Z73" s="77">
        <f>IF(Z24=2,Y71,0)</f>
        <v>0</v>
      </c>
      <c r="AA73" s="74">
        <f>IF(AA24=2,AB71,0)</f>
        <v>0</v>
      </c>
      <c r="AC73" s="77">
        <f>IF(AC24=2,AB71,0)</f>
        <v>0</v>
      </c>
      <c r="AD73" s="74">
        <f>IF(AD24=2,AE71,0)</f>
        <v>0</v>
      </c>
      <c r="AF73" s="77">
        <f>IF(AF24=2,AE71,0)</f>
        <v>0</v>
      </c>
      <c r="AG73" s="74">
        <f>SUM(B73:AF73)</f>
        <v>3</v>
      </c>
    </row>
    <row r="74" spans="1:81" s="74" customFormat="1" ht="12.75" hidden="1" customHeight="1" x14ac:dyDescent="0.25">
      <c r="A74" s="74" t="s">
        <v>77</v>
      </c>
      <c r="B74" s="74">
        <f>IF(B24=3,C71,0)</f>
        <v>0</v>
      </c>
      <c r="D74" s="77">
        <f>IF(D24=3,C71,0)</f>
        <v>1</v>
      </c>
      <c r="E74" s="74">
        <f>IF(E24=3,F71,0)</f>
        <v>0</v>
      </c>
      <c r="G74" s="77">
        <f>IF(G24=3,F71,0)</f>
        <v>0</v>
      </c>
      <c r="H74" s="74">
        <f>IF(H24=3,I71,0)</f>
        <v>0</v>
      </c>
      <c r="J74" s="77">
        <f>IF(J24=3,I71,0)</f>
        <v>0</v>
      </c>
      <c r="K74" s="77"/>
      <c r="L74" s="74">
        <f>IF(L24=3,M71,0)</f>
        <v>0</v>
      </c>
      <c r="N74" s="77">
        <f>IF(N24=3,M71,0)</f>
        <v>1</v>
      </c>
      <c r="O74" s="74">
        <f>IF(O24=3,P71,0)</f>
        <v>1</v>
      </c>
      <c r="Q74" s="77">
        <f>IF(Q24=3,P71,0)</f>
        <v>0</v>
      </c>
      <c r="R74" s="74">
        <f>IF(R24=3,S71,0)</f>
        <v>0</v>
      </c>
      <c r="T74" s="77">
        <f>IF(T24=3,S71,0)</f>
        <v>0</v>
      </c>
      <c r="U74" s="74">
        <f>IF(U24=3,V71,0)</f>
        <v>0</v>
      </c>
      <c r="W74" s="77">
        <f>IF(W24=3,V71,0)</f>
        <v>0</v>
      </c>
      <c r="X74" s="74">
        <f>IF(X24=3,Y71,0)</f>
        <v>0</v>
      </c>
      <c r="Z74" s="77">
        <f>IF(Z24=3,Y71,0)</f>
        <v>0</v>
      </c>
      <c r="AA74" s="74">
        <f>IF(AA24=3,AB71,0)</f>
        <v>0</v>
      </c>
      <c r="AC74" s="77">
        <f>IF(AC24=3,AB71,0)</f>
        <v>0</v>
      </c>
      <c r="AD74" s="74">
        <f>IF(AD24=3,AE71,0)</f>
        <v>0</v>
      </c>
      <c r="AF74" s="77">
        <f>IF(AF24=3,AE71,0)</f>
        <v>0</v>
      </c>
      <c r="AG74" s="74">
        <f>SUM(B74:AF74)</f>
        <v>3</v>
      </c>
    </row>
    <row r="75" spans="1:81" s="74" customFormat="1" ht="12.75" hidden="1" customHeight="1" x14ac:dyDescent="0.25">
      <c r="A75" s="74" t="s">
        <v>78</v>
      </c>
      <c r="B75" s="74">
        <f>IF(B24=4,C71,0)</f>
        <v>0</v>
      </c>
      <c r="D75" s="77">
        <f>IF(D24=4,C71,0)</f>
        <v>0</v>
      </c>
      <c r="E75" s="74">
        <f>IF(E24=4,F71,0)</f>
        <v>0</v>
      </c>
      <c r="G75" s="77">
        <f>IF(G24=4,F71,0)</f>
        <v>1</v>
      </c>
      <c r="H75" s="74">
        <f>IF(H24=4,I71,0)</f>
        <v>0</v>
      </c>
      <c r="J75" s="77">
        <f>IF(J24=4,I71,0)</f>
        <v>1</v>
      </c>
      <c r="K75" s="77"/>
      <c r="L75" s="74">
        <f>IF(L24=4,M71,0)</f>
        <v>0</v>
      </c>
      <c r="N75" s="77">
        <f>IF(N24=4,M71,0)</f>
        <v>0</v>
      </c>
      <c r="O75" s="74">
        <f>IF(O24=4,P71,0)</f>
        <v>0</v>
      </c>
      <c r="Q75" s="77">
        <f>IF(Q24=4,P71,0)</f>
        <v>1</v>
      </c>
      <c r="R75" s="74">
        <f>IF(R24=4,S71,0)</f>
        <v>0</v>
      </c>
      <c r="T75" s="77">
        <f>IF(T24=4,S71,0)</f>
        <v>0</v>
      </c>
      <c r="U75" s="74">
        <f>IF(U24=4,V71,0)</f>
        <v>0</v>
      </c>
      <c r="W75" s="77">
        <f>IF(W24=4,V71,0)</f>
        <v>0</v>
      </c>
      <c r="X75" s="74">
        <f>IF(X24=4,Y71,0)</f>
        <v>0</v>
      </c>
      <c r="Z75" s="77">
        <f>IF(Z24=4,Y71,0)</f>
        <v>0</v>
      </c>
      <c r="AA75" s="74">
        <f>IF(AA24=4,AB71,0)</f>
        <v>0</v>
      </c>
      <c r="AC75" s="77">
        <f>IF(AC24=4,AB71,0)</f>
        <v>0</v>
      </c>
      <c r="AD75" s="74">
        <f>IF(AD24=4,AE71,0)</f>
        <v>0</v>
      </c>
      <c r="AF75" s="77">
        <f>IF(AF24=4,AE71,0)</f>
        <v>0</v>
      </c>
      <c r="AG75" s="74">
        <f>SUM(B75:AF75)</f>
        <v>3</v>
      </c>
    </row>
    <row r="76" spans="1:81" s="74" customFormat="1" ht="12.75" hidden="1" customHeight="1" x14ac:dyDescent="0.25">
      <c r="A76" s="74" t="s">
        <v>79</v>
      </c>
      <c r="B76" s="74">
        <f>IF(B24=5,C71,0)</f>
        <v>0</v>
      </c>
      <c r="D76" s="77">
        <f>IF(D24=5,C71,0)</f>
        <v>0</v>
      </c>
      <c r="E76" s="74">
        <f>IF(E24=5,F71,0)</f>
        <v>0</v>
      </c>
      <c r="G76" s="77">
        <f>IF(G24=5,F71,0)</f>
        <v>0</v>
      </c>
      <c r="H76" s="74">
        <f>IF(H24=5,I71,0)</f>
        <v>0</v>
      </c>
      <c r="J76" s="77">
        <f>IF(J24=5,I71,0)</f>
        <v>0</v>
      </c>
      <c r="K76" s="77"/>
      <c r="L76" s="74">
        <f>IF(L24=5,M71,0)</f>
        <v>0</v>
      </c>
      <c r="N76" s="77">
        <f>IF(N24=5,M71,0)</f>
        <v>0</v>
      </c>
      <c r="O76" s="74">
        <f>IF(O24=5,P71,0)</f>
        <v>0</v>
      </c>
      <c r="Q76" s="77">
        <f>IF(Q24=5,P71,0)</f>
        <v>0</v>
      </c>
      <c r="R76" s="74">
        <f>IF(R24=5,S71,0)</f>
        <v>0</v>
      </c>
      <c r="T76" s="77">
        <f>IF(T24=5,S71,0)</f>
        <v>0</v>
      </c>
      <c r="U76" s="74">
        <f>IF(U24=5,V71,0)</f>
        <v>0</v>
      </c>
      <c r="W76" s="77">
        <f>IF(W24=5,V71,0)</f>
        <v>0</v>
      </c>
      <c r="X76" s="74">
        <f>IF(X24=5,Y71,0)</f>
        <v>0</v>
      </c>
      <c r="Z76" s="77">
        <f>IF(Z24=5,Y71,0)</f>
        <v>0</v>
      </c>
      <c r="AA76" s="74">
        <f>IF(AA24=5,AB71,0)</f>
        <v>0</v>
      </c>
      <c r="AC76" s="77">
        <f>IF(AC24=5,AB71,0)</f>
        <v>0</v>
      </c>
      <c r="AD76" s="74">
        <f>IF(AD24=5,AE71,0)</f>
        <v>0</v>
      </c>
      <c r="AF76" s="77">
        <f>IF(AF24=5,AE71,0)</f>
        <v>0</v>
      </c>
      <c r="AG76" s="74">
        <f>SUM(B76:AF76)</f>
        <v>0</v>
      </c>
    </row>
    <row r="77" spans="1:81" hidden="1" x14ac:dyDescent="0.25">
      <c r="A77" s="162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59"/>
      <c r="AP77" s="159"/>
      <c r="AQ77" s="159"/>
      <c r="AR77" s="159"/>
      <c r="AS77" s="81"/>
      <c r="AT77" s="81"/>
      <c r="AU77" s="81"/>
      <c r="AV77" s="81"/>
      <c r="AW77" s="152"/>
      <c r="BB77" s="152"/>
      <c r="BE77" s="152"/>
      <c r="BH77" s="152"/>
      <c r="BK77" s="152"/>
      <c r="BN77" s="152"/>
      <c r="BQ77" s="152"/>
      <c r="BT77" s="152"/>
      <c r="BW77" s="152"/>
      <c r="BZ77" s="152"/>
      <c r="CC77" s="152"/>
    </row>
    <row r="78" spans="1:81" s="81" customFormat="1" hidden="1" x14ac:dyDescent="0.25">
      <c r="A78" s="83"/>
      <c r="B78" s="83"/>
      <c r="C78" s="83" t="s">
        <v>86</v>
      </c>
      <c r="D78" s="83">
        <v>1</v>
      </c>
      <c r="E78" s="83"/>
      <c r="F78" s="83"/>
      <c r="G78" s="83">
        <v>2</v>
      </c>
      <c r="H78" s="83"/>
      <c r="I78" s="83"/>
      <c r="J78" s="83">
        <v>3</v>
      </c>
      <c r="K78" s="83"/>
      <c r="L78" s="83"/>
      <c r="M78" s="83"/>
      <c r="N78" s="83">
        <v>4</v>
      </c>
      <c r="O78" s="83"/>
      <c r="P78" s="83"/>
      <c r="Q78" s="83">
        <v>5</v>
      </c>
      <c r="R78" s="83"/>
      <c r="S78" s="83"/>
      <c r="T78" s="83">
        <v>6</v>
      </c>
      <c r="U78" s="83"/>
      <c r="V78" s="83"/>
      <c r="W78" s="83">
        <v>7</v>
      </c>
      <c r="X78" s="83"/>
      <c r="Y78" s="83"/>
      <c r="Z78" s="83">
        <v>8</v>
      </c>
      <c r="AA78" s="83"/>
      <c r="AB78" s="83"/>
      <c r="AC78" s="83">
        <v>9</v>
      </c>
      <c r="AD78" s="83"/>
      <c r="AE78" s="83"/>
      <c r="AF78" s="83">
        <v>10</v>
      </c>
      <c r="AG78"/>
      <c r="AH78" s="83"/>
      <c r="AJ78" s="84"/>
      <c r="AK78"/>
      <c r="AL78"/>
      <c r="AM78"/>
      <c r="AN78"/>
      <c r="AO78"/>
      <c r="AP78"/>
      <c r="AT78" s="84" t="s">
        <v>87</v>
      </c>
      <c r="AW78" s="85"/>
      <c r="BB78" s="85"/>
      <c r="BE78" s="85"/>
      <c r="BH78" s="85"/>
      <c r="BK78" s="85"/>
      <c r="BN78" s="85"/>
      <c r="BQ78" s="85"/>
      <c r="BT78" s="85"/>
      <c r="BW78" s="85"/>
      <c r="BZ78" s="85"/>
      <c r="CC78" s="85"/>
    </row>
    <row r="79" spans="1:81" s="81" customFormat="1" hidden="1" x14ac:dyDescent="0.25">
      <c r="A79" s="86">
        <v>1</v>
      </c>
      <c r="B79" s="86" t="str">
        <f>E8</f>
        <v>SC Midlands KP Garnet</v>
      </c>
      <c r="C79" s="86">
        <f>VLOOKUP(B79,AU$3:AY$33,3,FALSE)</f>
        <v>1246.5304984710244</v>
      </c>
      <c r="D79" s="86">
        <f>IF(B72,B87,IF(D72,D87,C79))</f>
        <v>1246.5304984710244</v>
      </c>
      <c r="E79" s="86"/>
      <c r="F79" s="86"/>
      <c r="G79" s="86">
        <f>IF(E72,E87,IF(G72,G87,D79))</f>
        <v>1253.7957477065368</v>
      </c>
      <c r="H79" s="86"/>
      <c r="I79" s="86"/>
      <c r="J79" s="86">
        <f>IF(H72,H87,IF(J72,J87,G79))</f>
        <v>1253.7957477065368</v>
      </c>
      <c r="K79" s="86"/>
      <c r="L79" s="86"/>
      <c r="M79" s="86"/>
      <c r="N79" s="86">
        <f>IF(L72,L87,IF(N72,N87,J79))</f>
        <v>1247.8699480598177</v>
      </c>
      <c r="O79" s="86"/>
      <c r="P79" s="86"/>
      <c r="Q79" s="86">
        <f>IF(O72,O87,IF(Q72,Q87,N79))</f>
        <v>1247.8699480598177</v>
      </c>
      <c r="R79" s="86"/>
      <c r="S79" s="86"/>
      <c r="T79" s="86">
        <f>IF(R72,R87,IF(T72,T87,Q79))</f>
        <v>1255.6657067714395</v>
      </c>
      <c r="U79" s="86"/>
      <c r="V79" s="86"/>
      <c r="W79" s="86">
        <f>IF(U72,U87,IF(W72,W87,T79))</f>
        <v>1255.6657067714395</v>
      </c>
      <c r="X79" s="86"/>
      <c r="Y79" s="86"/>
      <c r="Z79" s="86">
        <f>IF(X72,X87,IF(Z72,Z87,W79))</f>
        <v>1255.6657067714395</v>
      </c>
      <c r="AA79" s="86"/>
      <c r="AB79" s="86"/>
      <c r="AC79" s="86">
        <f>IF(AA72,AA87,IF(AC72,AC87,Z79))</f>
        <v>1255.6657067714395</v>
      </c>
      <c r="AD79" s="86"/>
      <c r="AE79" s="86"/>
      <c r="AF79" s="86">
        <f>IF(AD72,AD87,IF(AF72,AF87,AC79))</f>
        <v>1255.6657067714395</v>
      </c>
      <c r="AG79"/>
      <c r="AH79"/>
      <c r="AK79"/>
      <c r="AL79"/>
      <c r="AM79"/>
      <c r="AN79"/>
      <c r="AO79"/>
      <c r="AP79"/>
      <c r="AT79" s="81" t="str">
        <f>B79</f>
        <v>SC Midlands KP Garnet</v>
      </c>
      <c r="AU79" s="81">
        <f>AF79</f>
        <v>1255.6657067714395</v>
      </c>
      <c r="AW79" s="85"/>
      <c r="BB79" s="85"/>
      <c r="BE79" s="85"/>
      <c r="BH79" s="85"/>
      <c r="BK79" s="85"/>
      <c r="BN79" s="85"/>
      <c r="BQ79" s="85"/>
      <c r="BT79" s="85"/>
      <c r="BW79" s="85"/>
      <c r="BZ79" s="85"/>
      <c r="CC79" s="85"/>
    </row>
    <row r="80" spans="1:81" s="81" customFormat="1" hidden="1" x14ac:dyDescent="0.25">
      <c r="A80" s="86">
        <v>2</v>
      </c>
      <c r="B80" s="86" t="str">
        <f>E10</f>
        <v>SC Midlands KP Black</v>
      </c>
      <c r="C80" s="86">
        <f>VLOOKUP(B80,AU$3:AY$33,3,FALSE)</f>
        <v>1237.251057639922</v>
      </c>
      <c r="D80" s="86">
        <f>IF(B73,B87,IF(D73,D87,C80))</f>
        <v>1231.5563473398383</v>
      </c>
      <c r="E80" s="86"/>
      <c r="F80" s="86"/>
      <c r="G80" s="86">
        <f>IF(E73,E87,IF(G73,G87,D80))</f>
        <v>1231.5563473398383</v>
      </c>
      <c r="H80" s="86"/>
      <c r="I80" s="86"/>
      <c r="J80" s="86">
        <f>IF(H73,H87,IF(J73,J87,G80))</f>
        <v>1238.9979337119146</v>
      </c>
      <c r="K80" s="86"/>
      <c r="L80" s="86"/>
      <c r="M80" s="86"/>
      <c r="N80" s="86">
        <f>IF(L73,L87,IF(N73,N87,J80))</f>
        <v>1238.9979337119146</v>
      </c>
      <c r="O80" s="86"/>
      <c r="P80" s="86"/>
      <c r="Q80" s="86">
        <f>IF(O73,O87,IF(Q73,Q87,N80))</f>
        <v>1238.9979337119146</v>
      </c>
      <c r="R80" s="86"/>
      <c r="S80" s="86"/>
      <c r="T80" s="86">
        <f>IF(R73,R87,IF(T73,T87,Q80))</f>
        <v>1231.2021750002928</v>
      </c>
      <c r="U80" s="86"/>
      <c r="V80" s="86"/>
      <c r="W80" s="86">
        <f>IF(U73,U87,IF(W73,W87,T80))</f>
        <v>1231.2021750002928</v>
      </c>
      <c r="X80" s="86"/>
      <c r="Y80" s="86"/>
      <c r="Z80" s="86">
        <f>IF(X73,X87,IF(Z73,Z87,W80))</f>
        <v>1231.2021750002928</v>
      </c>
      <c r="AA80" s="86"/>
      <c r="AB80" s="86"/>
      <c r="AC80" s="86">
        <f>IF(AA73,AA87,IF(AC73,AC87,Z80))</f>
        <v>1231.2021750002928</v>
      </c>
      <c r="AD80" s="86"/>
      <c r="AE80" s="86"/>
      <c r="AF80" s="86">
        <f>IF(AD73,AD87,IF(AF73,AF87,AC80))</f>
        <v>1231.2021750002928</v>
      </c>
      <c r="AG80"/>
      <c r="AH80"/>
      <c r="AK80"/>
      <c r="AM80"/>
      <c r="AN80"/>
      <c r="AO80"/>
      <c r="AP80"/>
      <c r="AT80" s="81" t="str">
        <f>B80</f>
        <v>SC Midlands KP Black</v>
      </c>
      <c r="AU80" s="81">
        <f>AF80</f>
        <v>1231.2021750002928</v>
      </c>
      <c r="AW80" s="85"/>
      <c r="BB80" s="85"/>
      <c r="BE80" s="85"/>
      <c r="BH80" s="85"/>
      <c r="BK80" s="85"/>
      <c r="BN80" s="85"/>
      <c r="BQ80" s="85"/>
      <c r="BT80" s="85"/>
      <c r="BW80" s="85"/>
      <c r="BZ80" s="85"/>
      <c r="CC80" s="85"/>
    </row>
    <row r="81" spans="1:81" s="81" customFormat="1" hidden="1" x14ac:dyDescent="0.25">
      <c r="A81" s="86">
        <v>3</v>
      </c>
      <c r="B81" s="86" t="str">
        <f>E12</f>
        <v>Intense Kids power Gvl</v>
      </c>
      <c r="C81" s="86">
        <f>VLOOKUP(B81,AU$3:AY$33,3,FALSE)</f>
        <v>1340.2864854074439</v>
      </c>
      <c r="D81" s="86">
        <f>IF(B74,B87,IF(D74,D87,C81))</f>
        <v>1345.9811957075276</v>
      </c>
      <c r="E81" s="86"/>
      <c r="F81" s="86"/>
      <c r="G81" s="86">
        <f>IF(E74,E87,IF(G74,G87,D81))</f>
        <v>1345.9811957075276</v>
      </c>
      <c r="H81" s="86"/>
      <c r="I81" s="86"/>
      <c r="J81" s="86">
        <f>IF(H74,H87,IF(J74,J87,G81))</f>
        <v>1345.9811957075276</v>
      </c>
      <c r="K81" s="86"/>
      <c r="L81" s="86"/>
      <c r="M81" s="86"/>
      <c r="N81" s="86">
        <f>IF(L74,L87,IF(N74,N87,J81))</f>
        <v>1351.9069953542466</v>
      </c>
      <c r="O81" s="86"/>
      <c r="P81" s="86"/>
      <c r="Q81" s="86">
        <f>IF(O74,O87,IF(Q74,Q87,N81))</f>
        <v>1356.6128999687164</v>
      </c>
      <c r="R81" s="86"/>
      <c r="S81" s="86"/>
      <c r="T81" s="86">
        <f>IF(R74,R87,IF(T74,T87,Q81))</f>
        <v>1356.6128999687164</v>
      </c>
      <c r="U81" s="86"/>
      <c r="V81" s="86"/>
      <c r="W81" s="86">
        <f>IF(U74,U87,IF(W74,W87,T81))</f>
        <v>1356.6128999687164</v>
      </c>
      <c r="X81" s="86"/>
      <c r="Y81" s="86"/>
      <c r="Z81" s="86">
        <f>IF(X74,X87,IF(Z74,Z87,W81))</f>
        <v>1356.6128999687164</v>
      </c>
      <c r="AA81" s="86"/>
      <c r="AB81" s="86"/>
      <c r="AC81" s="86">
        <f>IF(AA74,AA87,IF(AC74,AC87,Z81))</f>
        <v>1356.6128999687164</v>
      </c>
      <c r="AD81" s="86"/>
      <c r="AE81" s="86"/>
      <c r="AF81" s="86">
        <f>IF(AD74,AD87,IF(AF74,AF87,AC81))</f>
        <v>1356.6128999687164</v>
      </c>
      <c r="AG81"/>
      <c r="AH81"/>
      <c r="AK81"/>
      <c r="AM81"/>
      <c r="AN81"/>
      <c r="AO81"/>
      <c r="AP81"/>
      <c r="AT81" s="81" t="str">
        <f>B81</f>
        <v>Intense Kids power Gvl</v>
      </c>
      <c r="AU81" s="81">
        <f>AF81</f>
        <v>1356.6128999687164</v>
      </c>
      <c r="AW81" s="85"/>
      <c r="BB81" s="85"/>
      <c r="BE81" s="85"/>
      <c r="BH81" s="85"/>
      <c r="BK81" s="85"/>
      <c r="BN81" s="85"/>
      <c r="BQ81" s="85"/>
      <c r="BT81" s="85"/>
      <c r="BW81" s="85"/>
      <c r="BZ81" s="85"/>
      <c r="CC81" s="85"/>
    </row>
    <row r="82" spans="1:81" s="81" customFormat="1" hidden="1" x14ac:dyDescent="0.25">
      <c r="A82" s="86">
        <v>4</v>
      </c>
      <c r="B82" s="86" t="str">
        <f>E14</f>
        <v>Kershaw Dev 12 Black</v>
      </c>
      <c r="C82" s="86">
        <f>VLOOKUP(B82,AU$3:AY$33,3,FALSE)</f>
        <v>1214.5304984710244</v>
      </c>
      <c r="D82" s="86">
        <f>IF(B75,B87,IF(D75,D87,C82))</f>
        <v>1214.5304984710244</v>
      </c>
      <c r="E82" s="86"/>
      <c r="F82" s="86"/>
      <c r="G82" s="86">
        <f>IF(E75,E87,IF(G75,G87,D82))</f>
        <v>1207.2652492355121</v>
      </c>
      <c r="H82" s="86"/>
      <c r="I82" s="86"/>
      <c r="J82" s="86">
        <f>IF(H75,H87,IF(J75,J87,G82))</f>
        <v>1199.8236628634359</v>
      </c>
      <c r="K82" s="86"/>
      <c r="L82" s="86"/>
      <c r="M82" s="86"/>
      <c r="N82" s="86">
        <f>IF(L75,L87,IF(N75,N87,J82))</f>
        <v>1199.8236628634359</v>
      </c>
      <c r="O82" s="86"/>
      <c r="P82" s="86"/>
      <c r="Q82" s="86">
        <f>IF(O75,O87,IF(Q75,Q87,N82))</f>
        <v>1195.1177582489661</v>
      </c>
      <c r="R82" s="86"/>
      <c r="S82" s="86"/>
      <c r="T82" s="86">
        <f>IF(R75,R87,IF(T75,T87,Q82))</f>
        <v>1195.1177582489661</v>
      </c>
      <c r="U82" s="86"/>
      <c r="V82" s="86"/>
      <c r="W82" s="86">
        <f>IF(U75,U87,IF(W75,W87,T82))</f>
        <v>1195.1177582489661</v>
      </c>
      <c r="X82" s="86"/>
      <c r="Y82" s="86"/>
      <c r="Z82" s="86">
        <f>IF(X75,X87,IF(Z75,Z87,W82))</f>
        <v>1195.1177582489661</v>
      </c>
      <c r="AA82" s="86"/>
      <c r="AB82" s="86"/>
      <c r="AC82" s="86">
        <f>IF(AA75,AA87,IF(AC75,AC87,Z82))</f>
        <v>1195.1177582489661</v>
      </c>
      <c r="AD82" s="86"/>
      <c r="AE82" s="86"/>
      <c r="AF82" s="86">
        <f>IF(AD75,AD87,IF(AF75,AF87,AC82))</f>
        <v>1195.1177582489661</v>
      </c>
      <c r="AG82"/>
      <c r="AH82"/>
      <c r="AK82"/>
      <c r="AM82"/>
      <c r="AN82"/>
      <c r="AO82"/>
      <c r="AP82"/>
      <c r="AT82" s="81" t="str">
        <f>B82</f>
        <v>Kershaw Dev 12 Black</v>
      </c>
      <c r="AU82" s="81">
        <f>AF82</f>
        <v>1195.1177582489661</v>
      </c>
      <c r="AW82" s="85"/>
      <c r="BB82" s="85"/>
      <c r="BE82" s="85"/>
      <c r="BH82" s="85"/>
      <c r="BK82" s="85"/>
      <c r="BN82" s="85"/>
      <c r="BQ82" s="85"/>
      <c r="BT82" s="85"/>
      <c r="BW82" s="85"/>
      <c r="BZ82" s="85"/>
      <c r="CC82" s="85"/>
    </row>
    <row r="83" spans="1:81" s="81" customFormat="1" hidden="1" x14ac:dyDescent="0.25">
      <c r="A83" s="86">
        <v>5</v>
      </c>
      <c r="B83" s="86">
        <f>E16</f>
        <v>0</v>
      </c>
      <c r="C83" s="86" t="e">
        <f>VLOOKUP(B83,AU$3:AY$33,3,FALSE)</f>
        <v>#N/A</v>
      </c>
      <c r="D83" s="86" t="e">
        <f>IF(B76,B87,IF(D76,D87,C83))</f>
        <v>#N/A</v>
      </c>
      <c r="E83" s="86"/>
      <c r="F83" s="86"/>
      <c r="G83" s="86" t="e">
        <f>IF(E76,E87,IF(G76,G87,D83))</f>
        <v>#N/A</v>
      </c>
      <c r="H83" s="86"/>
      <c r="I83" s="86"/>
      <c r="J83" s="86" t="e">
        <f>IF(H76,H87,IF(J76,J87,G83))</f>
        <v>#N/A</v>
      </c>
      <c r="K83" s="86"/>
      <c r="L83" s="86"/>
      <c r="M83" s="86"/>
      <c r="N83" s="86" t="e">
        <f>IF(L76,L87,IF(N76,N87,J83))</f>
        <v>#N/A</v>
      </c>
      <c r="O83" s="86"/>
      <c r="P83" s="86"/>
      <c r="Q83" s="86" t="e">
        <f>IF(O76,O87,IF(Q76,Q87,N83))</f>
        <v>#N/A</v>
      </c>
      <c r="R83" s="86"/>
      <c r="S83" s="86"/>
      <c r="T83" s="86" t="e">
        <f>IF(R76,R87,IF(T76,T87,Q83))</f>
        <v>#N/A</v>
      </c>
      <c r="U83" s="86"/>
      <c r="V83" s="86"/>
      <c r="W83" s="86" t="e">
        <f>IF(U76,U87,IF(W76,W87,T83))</f>
        <v>#N/A</v>
      </c>
      <c r="X83" s="86"/>
      <c r="Y83" s="86"/>
      <c r="Z83" s="86" t="e">
        <f>IF(X76,X87,IF(Z76,Z87,W83))</f>
        <v>#N/A</v>
      </c>
      <c r="AA83" s="86"/>
      <c r="AB83" s="86"/>
      <c r="AC83" s="86" t="e">
        <f>IF(AA76,AA87,IF(AC76,AC87,Z83))</f>
        <v>#N/A</v>
      </c>
      <c r="AD83" s="86"/>
      <c r="AE83" s="86"/>
      <c r="AF83" s="86" t="e">
        <f>IF(AD76,AD87,IF(AF76,AF87,AC83))</f>
        <v>#N/A</v>
      </c>
      <c r="AG83"/>
      <c r="AH83"/>
      <c r="AK83"/>
      <c r="AM83"/>
      <c r="AN83"/>
      <c r="AO83"/>
      <c r="AP83"/>
      <c r="AT83" s="81">
        <f>B83</f>
        <v>0</v>
      </c>
      <c r="AU83" s="81" t="e">
        <f>AF83</f>
        <v>#N/A</v>
      </c>
      <c r="AW83" s="85"/>
      <c r="BB83" s="85"/>
      <c r="BE83" s="85"/>
      <c r="BH83" s="85"/>
      <c r="BK83" s="85"/>
      <c r="BN83" s="85"/>
      <c r="BQ83" s="85"/>
      <c r="BT83" s="85"/>
      <c r="BW83" s="85"/>
      <c r="BZ83" s="85"/>
      <c r="CC83" s="85"/>
    </row>
    <row r="84" spans="1:81" s="81" customFormat="1" hidden="1" x14ac:dyDescent="0.25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/>
      <c r="AH84"/>
      <c r="AK84"/>
      <c r="AM84"/>
      <c r="AN84"/>
      <c r="AO84"/>
      <c r="AP84"/>
      <c r="AW84" s="85"/>
      <c r="BB84" s="85"/>
      <c r="BE84" s="85"/>
      <c r="BH84" s="85"/>
      <c r="BK84" s="85"/>
      <c r="BN84" s="85"/>
      <c r="BQ84" s="85"/>
      <c r="BT84" s="85"/>
      <c r="BW84" s="85"/>
      <c r="BZ84" s="85"/>
      <c r="CC84" s="85"/>
    </row>
    <row r="85" spans="1:81" s="81" customFormat="1" hidden="1" x14ac:dyDescent="0.25">
      <c r="A85" s="86" t="s">
        <v>88</v>
      </c>
      <c r="B85" s="86">
        <f>VLOOKUP(B24,$A79:$AF83,3,FALSE)</f>
        <v>1237.251057639922</v>
      </c>
      <c r="C85" s="86">
        <v>1</v>
      </c>
      <c r="D85" s="86">
        <f>VLOOKUP(D24,$A79:$AF83,3,FALSE)</f>
        <v>1340.2864854074439</v>
      </c>
      <c r="E85" s="86">
        <f>VLOOKUP(E24,$A79:$AF83,4,FALSE)</f>
        <v>1246.5304984710244</v>
      </c>
      <c r="F85" s="86">
        <v>2</v>
      </c>
      <c r="G85" s="86">
        <f>VLOOKUP(G24,$A79:$AF83,4,FALSE)</f>
        <v>1214.5304984710244</v>
      </c>
      <c r="H85" s="86">
        <f>VLOOKUP(H24,$A79:$AF83,7,FALSE)</f>
        <v>1231.5563473398383</v>
      </c>
      <c r="I85" s="86">
        <v>3</v>
      </c>
      <c r="J85" s="86">
        <f>VLOOKUP(J24,$A79:$AF83,7,FALSE)</f>
        <v>1207.2652492355121</v>
      </c>
      <c r="K85" s="86"/>
      <c r="L85" s="86">
        <f>VLOOKUP(L24,$A79:$AF83,10,FALSE)</f>
        <v>1253.7957477065368</v>
      </c>
      <c r="M85" s="86">
        <v>4</v>
      </c>
      <c r="N85" s="86">
        <f>VLOOKUP(N24,$A79:$AF83,10,FALSE)</f>
        <v>1345.9811957075276</v>
      </c>
      <c r="O85" s="86">
        <f>VLOOKUP(O24,$A79:$AF83,14,FALSE)</f>
        <v>1351.9069953542466</v>
      </c>
      <c r="P85" s="86">
        <v>5</v>
      </c>
      <c r="Q85" s="86">
        <f>VLOOKUP(Q24,$A79:$AF83,14,FALSE)</f>
        <v>1199.8236628634359</v>
      </c>
      <c r="R85" s="86">
        <f>VLOOKUP(R24,$A79:$AF83,17,FALSE)</f>
        <v>1247.8699480598177</v>
      </c>
      <c r="S85" s="86">
        <v>6</v>
      </c>
      <c r="T85" s="86">
        <f>VLOOKUP(T24,$A79:$AF83,17,FALSE)</f>
        <v>1238.9979337119146</v>
      </c>
      <c r="U85" s="86" t="e">
        <f>VLOOKUP(U24,$A79:$AF83,20,FALSE)</f>
        <v>#N/A</v>
      </c>
      <c r="V85" s="86">
        <v>7</v>
      </c>
      <c r="W85" s="86" t="e">
        <f>VLOOKUP(W24,$A79:$AF83,20,FALSE)</f>
        <v>#N/A</v>
      </c>
      <c r="X85" s="86" t="e">
        <f>VLOOKUP(X24,$A79:$AF83,23,FALSE)</f>
        <v>#N/A</v>
      </c>
      <c r="Y85" s="86">
        <v>8</v>
      </c>
      <c r="Z85" s="86" t="e">
        <f>VLOOKUP(Z24,$A79:$AF83,23,FALSE)</f>
        <v>#N/A</v>
      </c>
      <c r="AA85" s="86" t="e">
        <f>VLOOKUP(AA24,$A79:$AF83,26,FALSE)</f>
        <v>#N/A</v>
      </c>
      <c r="AB85" s="86">
        <v>9</v>
      </c>
      <c r="AC85" s="86" t="e">
        <f>VLOOKUP(AC24,$A79:$AF83,26,FALSE)</f>
        <v>#N/A</v>
      </c>
      <c r="AD85" s="86" t="e">
        <f>VLOOKUP(AD24,$A79:$AF83,29,FALSE)</f>
        <v>#N/A</v>
      </c>
      <c r="AE85" s="86">
        <v>10</v>
      </c>
      <c r="AF85" s="86" t="e">
        <f>VLOOKUP(AF24,$A79:$AF83,29,FALSE)</f>
        <v>#N/A</v>
      </c>
      <c r="AG85"/>
      <c r="AH85" s="162"/>
      <c r="AI85" s="162"/>
      <c r="AJ85" s="162"/>
      <c r="AK85" s="162"/>
      <c r="AL85" s="162"/>
      <c r="AM85" s="162"/>
      <c r="AN85" s="162"/>
      <c r="AO85" s="159"/>
      <c r="AP85" s="159"/>
      <c r="AQ85" s="159"/>
      <c r="AR85" s="159"/>
      <c r="AW85" s="85"/>
      <c r="BB85" s="85"/>
      <c r="BE85" s="85"/>
      <c r="BH85" s="85"/>
      <c r="BK85" s="85"/>
      <c r="BN85" s="85"/>
      <c r="BQ85" s="85"/>
      <c r="BT85" s="85"/>
      <c r="BW85" s="85"/>
      <c r="BZ85" s="85"/>
      <c r="CC85" s="85"/>
    </row>
    <row r="86" spans="1:81" s="91" customFormat="1" hidden="1" x14ac:dyDescent="0.25">
      <c r="A86" s="87" t="s">
        <v>89</v>
      </c>
      <c r="B86" s="87">
        <f>1/(1+(10^-((B85-D85)/400)))*(B36+D36)</f>
        <v>0.35591939375522996</v>
      </c>
      <c r="C86" s="87"/>
      <c r="D86" s="87">
        <f>1/(1+(10^-((D85-B85)/400)))*(B36+D36)</f>
        <v>0.64408060624477004</v>
      </c>
      <c r="E86" s="87">
        <f>1/(1+(10^-((E85-G85)/400)))*(E36+G36)</f>
        <v>0.54592192278048368</v>
      </c>
      <c r="F86" s="87"/>
      <c r="G86" s="87">
        <f>1/(1+(10^-((G85-E85)/400)))*(E36+G36)</f>
        <v>0.45407807721951632</v>
      </c>
      <c r="H86" s="87">
        <f>1/(1+(10^-((H85-J85)/400)))*(H36+J36)</f>
        <v>0.5349008517452295</v>
      </c>
      <c r="I86" s="87"/>
      <c r="J86" s="87">
        <f>1/(1+(10^-((J85-H85)/400)))*(H36+J36)</f>
        <v>0.4650991482547705</v>
      </c>
      <c r="K86" s="87"/>
      <c r="L86" s="87">
        <f>1/(1+(10^-((L85-N85)/400)))*(L36+N36)</f>
        <v>0.37036247791994109</v>
      </c>
      <c r="M86" s="87"/>
      <c r="N86" s="87">
        <f>1/(1+(10^-((N85-L85)/400)))*(L36+N36)</f>
        <v>0.62963752208005896</v>
      </c>
      <c r="O86" s="87">
        <f>1/(1+(10^-((O85-Q85)/400)))*(O36+Q36)</f>
        <v>0.70588096159564329</v>
      </c>
      <c r="P86" s="87"/>
      <c r="Q86" s="87">
        <f>1/(1+(10^-((Q85-O85)/400)))*(O36+Q36)</f>
        <v>0.29411903840435671</v>
      </c>
      <c r="R86" s="87">
        <f>1/(1+(10^-((R85-T85)/400)))*(R36+T36)</f>
        <v>0.51276508052363012</v>
      </c>
      <c r="S86" s="87"/>
      <c r="T86" s="87">
        <f>1/(1+(10^-((T85-R85)/400)))*(R36+T36)</f>
        <v>0.48723491947636988</v>
      </c>
      <c r="U86" s="87" t="e">
        <f>1/(1+(10^-((U85-W85)/400)))*(U36+W36)</f>
        <v>#N/A</v>
      </c>
      <c r="V86" s="87"/>
      <c r="W86" s="87" t="e">
        <f>1/(1+(10^-((W85-U85)/400)))*(U36+W36)</f>
        <v>#N/A</v>
      </c>
      <c r="X86" s="87" t="e">
        <f>1/(1+(10^-((X85-Z85)/400)))*(X36+Z36)</f>
        <v>#N/A</v>
      </c>
      <c r="Y86" s="87"/>
      <c r="Z86" s="87" t="e">
        <f>1/(1+(10^-((Z85-X85)/400)))*(X36+Z36)</f>
        <v>#N/A</v>
      </c>
      <c r="AA86" s="87" t="e">
        <f>1/(1+(10^-((AA85-AC85)/400)))*(AA36+AC36)</f>
        <v>#N/A</v>
      </c>
      <c r="AB86" s="87"/>
      <c r="AC86" s="87" t="e">
        <f>1/(1+(10^-((AC85-AA85)/400)))*(AA36+AC36)</f>
        <v>#N/A</v>
      </c>
      <c r="AD86" s="87" t="e">
        <f>1/(1+(10^-((AD85-AF85)/400)))*(AD36+AF36)</f>
        <v>#N/A</v>
      </c>
      <c r="AE86" s="87"/>
      <c r="AF86" s="87" t="e">
        <f>1/(1+(10^-((AF85-AD85)/400)))*(AD36+AF36)</f>
        <v>#N/A</v>
      </c>
      <c r="AG86" s="88"/>
      <c r="AH86" s="89"/>
      <c r="AI86" s="89"/>
      <c r="AJ86" s="89"/>
      <c r="AK86" s="89"/>
      <c r="AL86" s="89"/>
      <c r="AM86" s="89"/>
      <c r="AN86" s="89"/>
      <c r="AO86" s="90"/>
      <c r="AP86" s="90"/>
      <c r="AQ86" s="90"/>
      <c r="AR86" s="90"/>
      <c r="AW86" s="92"/>
      <c r="BB86" s="92"/>
      <c r="BE86" s="92"/>
      <c r="BH86" s="92"/>
      <c r="BK86" s="92"/>
      <c r="BN86" s="92"/>
      <c r="BQ86" s="92"/>
      <c r="BT86" s="92"/>
      <c r="BW86" s="92"/>
      <c r="BZ86" s="92"/>
      <c r="CC86" s="92"/>
    </row>
    <row r="87" spans="1:81" s="97" customFormat="1" hidden="1" x14ac:dyDescent="0.25">
      <c r="A87" s="93" t="s">
        <v>90</v>
      </c>
      <c r="B87" s="93">
        <f>B85+(B36-B86)*$BA$1</f>
        <v>1231.5563473398383</v>
      </c>
      <c r="C87" s="93"/>
      <c r="D87" s="93">
        <f>D85+(D36-D86)*$BA$1</f>
        <v>1345.9811957075276</v>
      </c>
      <c r="E87" s="93">
        <f>E85+(E36-E86)*$BA$1</f>
        <v>1253.7957477065368</v>
      </c>
      <c r="F87" s="93"/>
      <c r="G87" s="93">
        <f>G85+(G36-G86)*$BA$1</f>
        <v>1207.2652492355121</v>
      </c>
      <c r="H87" s="93">
        <f>H85+(H36-H86)*$BA$1</f>
        <v>1238.9979337119146</v>
      </c>
      <c r="I87" s="93"/>
      <c r="J87" s="93">
        <f>J85+(J36-J86)*$BA$1</f>
        <v>1199.8236628634359</v>
      </c>
      <c r="K87" s="93"/>
      <c r="L87" s="93">
        <f>L85+(L36-L86)*$BA$1</f>
        <v>1247.8699480598177</v>
      </c>
      <c r="M87" s="93"/>
      <c r="N87" s="93">
        <f>N85+(N36-N86)*$BA$1</f>
        <v>1351.9069953542466</v>
      </c>
      <c r="O87" s="93">
        <f>O85+(O36-O86)*$BA$1</f>
        <v>1356.6128999687164</v>
      </c>
      <c r="P87" s="93"/>
      <c r="Q87" s="93">
        <f>Q85+(Q36-Q86)*$BA$1</f>
        <v>1195.1177582489661</v>
      </c>
      <c r="R87" s="93">
        <f>R85+(R36-R86)*$BA$1</f>
        <v>1255.6657067714395</v>
      </c>
      <c r="S87" s="93"/>
      <c r="T87" s="93">
        <f>T85+(T36-T86)*$BA$1</f>
        <v>1231.2021750002928</v>
      </c>
      <c r="U87" s="93" t="e">
        <f>U85+(U36-U86)*$BA$1</f>
        <v>#N/A</v>
      </c>
      <c r="V87" s="93"/>
      <c r="W87" s="93" t="e">
        <f>W85+(W36-W86)*$BA$1</f>
        <v>#N/A</v>
      </c>
      <c r="X87" s="93" t="e">
        <f>X85+(X36-X86)*$BA$1</f>
        <v>#N/A</v>
      </c>
      <c r="Y87" s="93"/>
      <c r="Z87" s="93" t="e">
        <f>Z85+(Z36-Z86)*$BA$1</f>
        <v>#N/A</v>
      </c>
      <c r="AA87" s="93" t="e">
        <f>AA85+(AA36-AA86)*$BA$1</f>
        <v>#N/A</v>
      </c>
      <c r="AB87" s="93"/>
      <c r="AC87" s="93" t="e">
        <f>AC85+(AC36-AC86)*$BA$1</f>
        <v>#N/A</v>
      </c>
      <c r="AD87" s="93" t="e">
        <f>AD85+(AD36-AD86)*$BA$1</f>
        <v>#N/A</v>
      </c>
      <c r="AE87" s="93"/>
      <c r="AF87" s="93" t="e">
        <f>AF85+(AF36-AF86)*$BA$1</f>
        <v>#N/A</v>
      </c>
      <c r="AG87" s="94"/>
      <c r="AH87" s="95"/>
      <c r="AI87" s="95"/>
      <c r="AJ87" s="95"/>
      <c r="AK87" s="95"/>
      <c r="AL87" s="95"/>
      <c r="AM87" s="95"/>
      <c r="AN87" s="95"/>
      <c r="AO87" s="96"/>
      <c r="AP87" s="96"/>
      <c r="AQ87" s="96"/>
      <c r="AR87" s="96"/>
      <c r="AW87" s="98"/>
      <c r="BB87" s="98"/>
      <c r="BE87" s="98"/>
      <c r="BH87" s="98"/>
      <c r="BK87" s="98"/>
      <c r="BN87" s="98"/>
      <c r="BQ87" s="98"/>
      <c r="BT87" s="98"/>
      <c r="BW87" s="98"/>
      <c r="BZ87" s="98"/>
      <c r="CC87" s="98"/>
    </row>
    <row r="88" spans="1:81" s="97" customFormat="1" hidden="1" x14ac:dyDescent="0.2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4"/>
      <c r="AH88" s="95"/>
      <c r="AI88" s="95"/>
      <c r="AJ88" s="95"/>
      <c r="AK88" s="95"/>
      <c r="AL88" s="95"/>
      <c r="AM88" s="95"/>
      <c r="AN88" s="95"/>
      <c r="AO88" s="96"/>
      <c r="AP88" s="96"/>
      <c r="AQ88" s="96"/>
      <c r="AR88" s="96"/>
      <c r="AW88" s="98"/>
      <c r="BB88" s="98"/>
      <c r="BE88" s="98"/>
      <c r="BH88" s="98"/>
      <c r="BK88" s="98"/>
      <c r="BN88" s="98"/>
      <c r="BQ88" s="98"/>
      <c r="BT88" s="98"/>
      <c r="BW88" s="98"/>
      <c r="BZ88" s="98"/>
      <c r="CC88" s="98"/>
    </row>
    <row r="89" spans="1:81" s="81" customFormat="1" x14ac:dyDescent="0.25">
      <c r="A89" s="308" t="str">
        <f>IF($AL10=1,"Pool Tiereaker : 1) Matches Won vs Lost (if 3 way tie then #4)  2) Head to Head  3) Game Win %  4) Total Pool Net Points  5) Flip a Coin","Pool Tiebreaker : 1) Games Won vs Lost (if 3 way tie then #5)  2) Head to Head  3) Head to Head Net Points  4) Game Win %  5) Total Pool Net Points  6) Flip a Coin")</f>
        <v>Pool Tiereaker : 1) Matches Won vs Lost (if 3 way tie then #4)  2) Head to Head  3) Game Win %  4) Total Pool Net Points  5) Flip a Coin</v>
      </c>
      <c r="B89" s="308"/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9"/>
      <c r="AO89" s="309"/>
      <c r="AP89" s="309"/>
      <c r="AQ89" s="309"/>
    </row>
    <row r="90" spans="1:81" s="81" customFormat="1" ht="13.8" thickBot="1" x14ac:dyDescent="0.3">
      <c r="A90" s="310"/>
      <c r="B90" s="310"/>
      <c r="C90" s="310"/>
      <c r="D90" s="310"/>
      <c r="E90" s="310"/>
      <c r="F90" s="310"/>
      <c r="G90" s="310"/>
      <c r="H90" s="310"/>
      <c r="I90" s="310"/>
      <c r="J90" s="310"/>
      <c r="K90" s="310"/>
      <c r="L90" s="310"/>
      <c r="M90" s="310"/>
      <c r="N90" s="310"/>
      <c r="O90" s="310"/>
      <c r="P90" s="310"/>
      <c r="Q90" s="310"/>
      <c r="R90" s="310"/>
      <c r="S90" s="310"/>
      <c r="T90" s="310"/>
      <c r="U90" s="310"/>
      <c r="V90" s="310"/>
      <c r="W90" s="310"/>
      <c r="X90" s="310"/>
      <c r="Y90" s="310"/>
      <c r="Z90" s="310"/>
      <c r="AA90" s="310"/>
      <c r="AB90" s="310"/>
      <c r="AC90" s="310"/>
      <c r="AD90" s="310"/>
      <c r="AE90" s="310"/>
      <c r="AF90" s="310"/>
      <c r="AG90" s="310"/>
      <c r="AH90" s="310"/>
      <c r="AI90" s="310"/>
      <c r="AJ90" s="310"/>
      <c r="AK90" s="310"/>
      <c r="AL90" s="310"/>
      <c r="AM90" s="310"/>
      <c r="AN90" s="310"/>
      <c r="AO90" s="310"/>
      <c r="AP90" s="310"/>
      <c r="AQ90" s="310"/>
      <c r="AR90" s="310"/>
    </row>
    <row r="91" spans="1:81" ht="24" customHeight="1" thickBot="1" x14ac:dyDescent="0.3">
      <c r="A91" s="33" t="s">
        <v>22</v>
      </c>
      <c r="B91" s="34" t="s">
        <v>91</v>
      </c>
      <c r="C91" s="211" t="s">
        <v>24</v>
      </c>
      <c r="D91" s="212"/>
      <c r="E91" s="212"/>
      <c r="F91" s="212"/>
      <c r="G91" s="212"/>
      <c r="H91" s="213"/>
      <c r="I91" s="214">
        <v>2</v>
      </c>
      <c r="J91" s="215"/>
      <c r="K91" s="216" t="str">
        <f>"Pool "&amp;B91&amp;" - Round 1 - Court "&amp;I91</f>
        <v>Pool B - Round 1 - Court 2</v>
      </c>
      <c r="L91" s="217"/>
      <c r="M91" s="217"/>
      <c r="N91" s="217"/>
      <c r="O91" s="217"/>
      <c r="P91" s="217"/>
      <c r="Q91" s="217"/>
      <c r="R91" s="217"/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17"/>
      <c r="AG91" s="217"/>
      <c r="AH91" s="217"/>
      <c r="AI91" s="217"/>
      <c r="AJ91" s="218"/>
      <c r="AK91" s="11"/>
      <c r="AL91" s="11"/>
      <c r="AM91" s="11"/>
      <c r="AN91" s="11"/>
      <c r="AO91" s="11"/>
      <c r="AP91" s="11"/>
      <c r="AQ91" s="11"/>
      <c r="AR91" s="11"/>
    </row>
    <row r="92" spans="1:81" ht="27" customHeight="1" thickBot="1" x14ac:dyDescent="0.3">
      <c r="A92" s="35" t="s">
        <v>25</v>
      </c>
      <c r="B92" s="183" t="s">
        <v>8</v>
      </c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183" t="str">
        <f>IF($AL95=0,"Games Won","Matches Won")</f>
        <v>Matches Won</v>
      </c>
      <c r="N92" s="219"/>
      <c r="O92" s="219"/>
      <c r="P92" s="219"/>
      <c r="Q92" s="219"/>
      <c r="R92" s="220"/>
      <c r="S92" s="183" t="str">
        <f>IF($AL95=0,"Games Lost","Matches Lost")</f>
        <v>Matches Lost</v>
      </c>
      <c r="T92" s="221"/>
      <c r="U92" s="221"/>
      <c r="V92" s="221"/>
      <c r="W92" s="222"/>
      <c r="X92" s="223" t="s">
        <v>26</v>
      </c>
      <c r="Y92" s="224"/>
      <c r="Z92" s="225"/>
      <c r="AA92" s="223" t="s">
        <v>27</v>
      </c>
      <c r="AB92" s="224"/>
      <c r="AC92" s="225"/>
      <c r="AD92" s="226" t="s">
        <v>28</v>
      </c>
      <c r="AE92" s="227"/>
      <c r="AF92" s="228"/>
      <c r="AG92" s="36" t="s">
        <v>29</v>
      </c>
      <c r="AH92" s="37" t="s">
        <v>7</v>
      </c>
      <c r="AI92" s="229" t="s">
        <v>30</v>
      </c>
      <c r="AJ92" s="230"/>
      <c r="AK92" s="38"/>
      <c r="AL92" s="39">
        <v>1</v>
      </c>
      <c r="AM92" s="40" t="s">
        <v>31</v>
      </c>
      <c r="AN92" s="40"/>
      <c r="AO92" s="40"/>
      <c r="AP92" s="40"/>
      <c r="AQ92" s="40"/>
      <c r="AR92" s="40"/>
      <c r="AS92" s="41"/>
    </row>
    <row r="93" spans="1:81" ht="18.75" customHeight="1" x14ac:dyDescent="0.25">
      <c r="A93" s="231" t="str">
        <f>IF($AL94&gt;0,"1","")</f>
        <v>1</v>
      </c>
      <c r="B93" s="233" t="s">
        <v>8</v>
      </c>
      <c r="C93" s="234"/>
      <c r="D93" s="235"/>
      <c r="E93" s="236" t="str">
        <f>AU4</f>
        <v>SC Midlands KP Silver</v>
      </c>
      <c r="F93" s="237"/>
      <c r="G93" s="237"/>
      <c r="H93" s="237"/>
      <c r="I93" s="237"/>
      <c r="J93" s="237"/>
      <c r="K93" s="237"/>
      <c r="L93" s="238"/>
      <c r="M93" s="239">
        <f>IF($AL95=0,AG149,AG131)</f>
        <v>4</v>
      </c>
      <c r="N93" s="240"/>
      <c r="O93" s="240"/>
      <c r="P93" s="240"/>
      <c r="Q93" s="240"/>
      <c r="R93" s="220"/>
      <c r="S93" s="239">
        <f>IF($AL95=0,AH149,AH131)</f>
        <v>0</v>
      </c>
      <c r="T93" s="240"/>
      <c r="U93" s="240"/>
      <c r="V93" s="240"/>
      <c r="W93" s="240"/>
      <c r="X93" s="239">
        <f>AR109</f>
        <v>46</v>
      </c>
      <c r="Y93" s="240"/>
      <c r="Z93" s="240"/>
      <c r="AA93" s="243">
        <f>IF(AG143&gt;0,(AR109/AG143),0)</f>
        <v>0.36220472440944884</v>
      </c>
      <c r="AB93" s="244"/>
      <c r="AC93" s="244"/>
      <c r="AD93" s="247">
        <f>IF(AG157=0,0,(AG149/AG157))</f>
        <v>1</v>
      </c>
      <c r="AE93" s="248"/>
      <c r="AF93" s="249"/>
      <c r="AG93" s="253">
        <v>1</v>
      </c>
      <c r="AH93" s="253">
        <v>1</v>
      </c>
      <c r="AI93" s="255"/>
      <c r="AJ93" s="256"/>
      <c r="AK93" s="38"/>
      <c r="AL93" s="39">
        <v>6</v>
      </c>
      <c r="AM93" s="40" t="s">
        <v>32</v>
      </c>
      <c r="AN93" s="40"/>
      <c r="AO93" s="40"/>
      <c r="AP93" s="40"/>
      <c r="AQ93" s="40"/>
      <c r="AR93" s="40"/>
      <c r="AS93" s="41"/>
    </row>
    <row r="94" spans="1:81" ht="18.75" customHeight="1" thickBot="1" x14ac:dyDescent="0.3">
      <c r="A94" s="232"/>
      <c r="B94" s="263" t="s">
        <v>9</v>
      </c>
      <c r="C94" s="264"/>
      <c r="D94" s="265"/>
      <c r="E94" s="261" t="str">
        <f>AV4</f>
        <v>fj1scmid4pm</v>
      </c>
      <c r="F94" s="262"/>
      <c r="G94" s="262"/>
      <c r="H94" s="262"/>
      <c r="I94" s="262"/>
      <c r="J94" s="262"/>
      <c r="K94" s="262"/>
      <c r="L94" s="262"/>
      <c r="M94" s="241"/>
      <c r="N94" s="242"/>
      <c r="O94" s="242"/>
      <c r="P94" s="242"/>
      <c r="Q94" s="242"/>
      <c r="R94" s="220"/>
      <c r="S94" s="241"/>
      <c r="T94" s="242"/>
      <c r="U94" s="242"/>
      <c r="V94" s="242"/>
      <c r="W94" s="242"/>
      <c r="X94" s="241"/>
      <c r="Y94" s="242"/>
      <c r="Z94" s="242"/>
      <c r="AA94" s="245"/>
      <c r="AB94" s="246"/>
      <c r="AC94" s="246"/>
      <c r="AD94" s="250"/>
      <c r="AE94" s="251"/>
      <c r="AF94" s="252"/>
      <c r="AG94" s="254"/>
      <c r="AH94" s="254"/>
      <c r="AI94" s="257"/>
      <c r="AJ94" s="258"/>
      <c r="AK94" s="38"/>
      <c r="AL94" s="39">
        <v>3</v>
      </c>
      <c r="AM94" s="40" t="s">
        <v>33</v>
      </c>
      <c r="AN94" s="38"/>
      <c r="AO94" s="38"/>
      <c r="AP94" s="38"/>
      <c r="AQ94" s="38"/>
      <c r="AR94" s="38"/>
      <c r="AS94" s="3"/>
    </row>
    <row r="95" spans="1:81" ht="18.75" customHeight="1" x14ac:dyDescent="0.25">
      <c r="A95" s="231" t="str">
        <f>IF($AL94&gt;1,"2","")</f>
        <v>2</v>
      </c>
      <c r="B95" s="233" t="s">
        <v>8</v>
      </c>
      <c r="C95" s="234"/>
      <c r="D95" s="235"/>
      <c r="E95" s="236" t="str">
        <f>AU5</f>
        <v>Columbia SC Starlings 12</v>
      </c>
      <c r="F95" s="237"/>
      <c r="G95" s="237"/>
      <c r="H95" s="237"/>
      <c r="I95" s="237"/>
      <c r="J95" s="237"/>
      <c r="K95" s="237"/>
      <c r="L95" s="238"/>
      <c r="M95" s="239">
        <f>IF($AL95=0,AG150,AG132)</f>
        <v>0</v>
      </c>
      <c r="N95" s="240"/>
      <c r="O95" s="240"/>
      <c r="P95" s="240"/>
      <c r="Q95" s="240"/>
      <c r="R95" s="220"/>
      <c r="S95" s="239">
        <f>IF($AL95=0,AH150,AH132)</f>
        <v>4</v>
      </c>
      <c r="T95" s="240"/>
      <c r="U95" s="240"/>
      <c r="V95" s="240"/>
      <c r="W95" s="240"/>
      <c r="X95" s="239">
        <f>AR110</f>
        <v>-47</v>
      </c>
      <c r="Y95" s="240"/>
      <c r="Z95" s="240"/>
      <c r="AA95" s="243">
        <f>IF(AG144&gt;0,(AR110/AG144),0)</f>
        <v>-0.39166666666666666</v>
      </c>
      <c r="AB95" s="244"/>
      <c r="AC95" s="244"/>
      <c r="AD95" s="247">
        <f>IF(AG158=0,0,(AG150/AG158))</f>
        <v>0</v>
      </c>
      <c r="AE95" s="248"/>
      <c r="AF95" s="249"/>
      <c r="AG95" s="253">
        <v>3</v>
      </c>
      <c r="AH95" s="253">
        <v>1</v>
      </c>
      <c r="AI95" s="255"/>
      <c r="AJ95" s="256"/>
      <c r="AK95" s="38"/>
      <c r="AL95" s="39">
        <v>1</v>
      </c>
      <c r="AM95" s="40" t="s">
        <v>34</v>
      </c>
      <c r="AN95" s="40"/>
      <c r="AO95" s="40"/>
      <c r="AP95" s="40"/>
      <c r="AQ95" s="40"/>
      <c r="AR95" s="40"/>
      <c r="AS95" s="41"/>
    </row>
    <row r="96" spans="1:81" ht="18.75" customHeight="1" thickBot="1" x14ac:dyDescent="0.3">
      <c r="A96" s="232"/>
      <c r="B96" s="259" t="s">
        <v>9</v>
      </c>
      <c r="C96" s="260"/>
      <c r="D96" s="260"/>
      <c r="E96" s="261" t="str">
        <f>AV5</f>
        <v>fj2starl1pm</v>
      </c>
      <c r="F96" s="262"/>
      <c r="G96" s="262"/>
      <c r="H96" s="262"/>
      <c r="I96" s="262"/>
      <c r="J96" s="262"/>
      <c r="K96" s="262"/>
      <c r="L96" s="262"/>
      <c r="M96" s="241"/>
      <c r="N96" s="242"/>
      <c r="O96" s="242"/>
      <c r="P96" s="242"/>
      <c r="Q96" s="242"/>
      <c r="R96" s="220"/>
      <c r="S96" s="241"/>
      <c r="T96" s="242"/>
      <c r="U96" s="242"/>
      <c r="V96" s="242"/>
      <c r="W96" s="242"/>
      <c r="X96" s="241"/>
      <c r="Y96" s="242"/>
      <c r="Z96" s="242"/>
      <c r="AA96" s="245"/>
      <c r="AB96" s="246"/>
      <c r="AC96" s="246"/>
      <c r="AD96" s="250"/>
      <c r="AE96" s="251"/>
      <c r="AF96" s="252"/>
      <c r="AG96" s="254"/>
      <c r="AH96" s="254"/>
      <c r="AI96" s="257"/>
      <c r="AJ96" s="258"/>
      <c r="AK96" s="38"/>
      <c r="AL96" s="39">
        <v>1</v>
      </c>
      <c r="AM96" s="40" t="s">
        <v>35</v>
      </c>
      <c r="AN96" s="38"/>
      <c r="AO96" s="38"/>
      <c r="AP96" s="38"/>
      <c r="AQ96" s="38"/>
      <c r="AR96" s="38"/>
      <c r="AS96" s="3"/>
    </row>
    <row r="97" spans="1:45" ht="18.75" customHeight="1" x14ac:dyDescent="0.25">
      <c r="A97" s="231" t="str">
        <f>IF($AL94&gt;2,"3","")</f>
        <v>3</v>
      </c>
      <c r="B97" s="266" t="s">
        <v>8</v>
      </c>
      <c r="C97" s="267"/>
      <c r="D97" s="267"/>
      <c r="E97" s="236" t="str">
        <f>AU8</f>
        <v>Foothills Skylar</v>
      </c>
      <c r="F97" s="237"/>
      <c r="G97" s="237"/>
      <c r="H97" s="237"/>
      <c r="I97" s="237"/>
      <c r="J97" s="237"/>
      <c r="K97" s="237"/>
      <c r="L97" s="238"/>
      <c r="M97" s="239">
        <f>IF($AL95=0,AG151,AG133)</f>
        <v>2</v>
      </c>
      <c r="N97" s="240"/>
      <c r="O97" s="240"/>
      <c r="P97" s="240"/>
      <c r="Q97" s="240"/>
      <c r="R97" s="220"/>
      <c r="S97" s="239">
        <f>IF($AL95=0,AH151,AH133)</f>
        <v>2</v>
      </c>
      <c r="T97" s="240"/>
      <c r="U97" s="240"/>
      <c r="V97" s="240"/>
      <c r="W97" s="240"/>
      <c r="X97" s="239">
        <f>AR111</f>
        <v>1</v>
      </c>
      <c r="Y97" s="240"/>
      <c r="Z97" s="240"/>
      <c r="AA97" s="243">
        <f>IF(AG145&gt;0,(AR111/AG145),0)</f>
        <v>7.874015748031496E-3</v>
      </c>
      <c r="AB97" s="244"/>
      <c r="AC97" s="244"/>
      <c r="AD97" s="247">
        <f>IF(AG159=0,0,(AG151/AG159))</f>
        <v>0.5</v>
      </c>
      <c r="AE97" s="248"/>
      <c r="AF97" s="249"/>
      <c r="AG97" s="253">
        <v>2</v>
      </c>
      <c r="AH97" s="253">
        <v>1</v>
      </c>
      <c r="AI97" s="255"/>
      <c r="AJ97" s="256"/>
      <c r="AK97" s="48"/>
      <c r="AL97" s="39">
        <v>4</v>
      </c>
      <c r="AM97" s="49" t="s">
        <v>36</v>
      </c>
      <c r="AN97" s="40"/>
      <c r="AO97" s="40"/>
      <c r="AP97" s="40"/>
      <c r="AQ97" s="40"/>
      <c r="AR97" s="40"/>
      <c r="AS97" s="41"/>
    </row>
    <row r="98" spans="1:45" ht="18.75" customHeight="1" thickBot="1" x14ac:dyDescent="0.3">
      <c r="A98" s="232"/>
      <c r="B98" s="259" t="s">
        <v>9</v>
      </c>
      <c r="C98" s="260"/>
      <c r="D98" s="260"/>
      <c r="E98" s="261" t="str">
        <f>AV8</f>
        <v>fj2footh3pm</v>
      </c>
      <c r="F98" s="262"/>
      <c r="G98" s="262"/>
      <c r="H98" s="262"/>
      <c r="I98" s="262"/>
      <c r="J98" s="262"/>
      <c r="K98" s="262"/>
      <c r="L98" s="262"/>
      <c r="M98" s="241"/>
      <c r="N98" s="242"/>
      <c r="O98" s="242"/>
      <c r="P98" s="242"/>
      <c r="Q98" s="242"/>
      <c r="R98" s="220"/>
      <c r="S98" s="241"/>
      <c r="T98" s="242"/>
      <c r="U98" s="242"/>
      <c r="V98" s="242"/>
      <c r="W98" s="242"/>
      <c r="X98" s="241"/>
      <c r="Y98" s="242"/>
      <c r="Z98" s="242"/>
      <c r="AA98" s="245"/>
      <c r="AB98" s="246"/>
      <c r="AC98" s="246"/>
      <c r="AD98" s="250"/>
      <c r="AE98" s="251"/>
      <c r="AF98" s="252"/>
      <c r="AG98" s="254"/>
      <c r="AH98" s="254"/>
      <c r="AI98" s="257"/>
      <c r="AJ98" s="258"/>
      <c r="AK98" s="48"/>
      <c r="AL98" s="56"/>
      <c r="AM98" s="57"/>
      <c r="AN98" s="57"/>
      <c r="AO98" s="57"/>
      <c r="AP98" s="57"/>
      <c r="AQ98" s="57"/>
      <c r="AR98" s="38"/>
      <c r="AS98" s="3"/>
    </row>
    <row r="99" spans="1:45" ht="18.75" customHeight="1" x14ac:dyDescent="0.25">
      <c r="A99" s="231" t="str">
        <f>IF($AL94&gt;3,"4","")</f>
        <v/>
      </c>
      <c r="B99" s="266" t="s">
        <v>8</v>
      </c>
      <c r="C99" s="267"/>
      <c r="D99" s="267"/>
      <c r="E99" s="236">
        <f>AU10</f>
        <v>0</v>
      </c>
      <c r="F99" s="237"/>
      <c r="G99" s="237"/>
      <c r="H99" s="237"/>
      <c r="I99" s="237"/>
      <c r="J99" s="237"/>
      <c r="K99" s="237"/>
      <c r="L99" s="238"/>
      <c r="M99" s="239">
        <f>IF($AL95=0,AG152,AG134)</f>
        <v>0</v>
      </c>
      <c r="N99" s="240"/>
      <c r="O99" s="240"/>
      <c r="P99" s="240"/>
      <c r="Q99" s="240"/>
      <c r="R99" s="220"/>
      <c r="S99" s="239">
        <f>IF($AL95=0,AH152,AH134)</f>
        <v>0</v>
      </c>
      <c r="T99" s="240"/>
      <c r="U99" s="240"/>
      <c r="V99" s="240"/>
      <c r="W99" s="240"/>
      <c r="X99" s="239">
        <f>AR112</f>
        <v>0</v>
      </c>
      <c r="Y99" s="240"/>
      <c r="Z99" s="240"/>
      <c r="AA99" s="243">
        <f>IF(AG146&gt;0,(AR112/AG146),0)</f>
        <v>0</v>
      </c>
      <c r="AB99" s="244"/>
      <c r="AC99" s="244"/>
      <c r="AD99" s="247">
        <f>IF(AG160=0,0,(AG152/AG160))</f>
        <v>0</v>
      </c>
      <c r="AE99" s="248"/>
      <c r="AF99" s="249"/>
      <c r="AG99" s="253"/>
      <c r="AH99" s="253"/>
      <c r="AI99" s="255"/>
      <c r="AJ99" s="256"/>
      <c r="AK99" s="11"/>
      <c r="AL99" s="57"/>
      <c r="AM99" s="57"/>
      <c r="AN99" s="57"/>
      <c r="AO99" s="57"/>
      <c r="AP99" s="57"/>
      <c r="AQ99" s="57"/>
      <c r="AR99" s="40"/>
      <c r="AS99" s="41"/>
    </row>
    <row r="100" spans="1:45" ht="18.75" customHeight="1" thickBot="1" x14ac:dyDescent="0.3">
      <c r="A100" s="232"/>
      <c r="B100" s="259" t="s">
        <v>9</v>
      </c>
      <c r="C100" s="260"/>
      <c r="D100" s="260"/>
      <c r="E100" s="261">
        <f>AV10</f>
        <v>0</v>
      </c>
      <c r="F100" s="262"/>
      <c r="G100" s="262"/>
      <c r="H100" s="262"/>
      <c r="I100" s="262"/>
      <c r="J100" s="262"/>
      <c r="K100" s="262"/>
      <c r="L100" s="262"/>
      <c r="M100" s="241"/>
      <c r="N100" s="242"/>
      <c r="O100" s="242"/>
      <c r="P100" s="242"/>
      <c r="Q100" s="242"/>
      <c r="R100" s="220"/>
      <c r="S100" s="241"/>
      <c r="T100" s="242"/>
      <c r="U100" s="242"/>
      <c r="V100" s="242"/>
      <c r="W100" s="242"/>
      <c r="X100" s="241"/>
      <c r="Y100" s="242"/>
      <c r="Z100" s="242"/>
      <c r="AA100" s="245"/>
      <c r="AB100" s="246"/>
      <c r="AC100" s="246"/>
      <c r="AD100" s="250"/>
      <c r="AE100" s="251"/>
      <c r="AF100" s="252"/>
      <c r="AG100" s="254"/>
      <c r="AH100" s="254"/>
      <c r="AI100" s="257"/>
      <c r="AJ100" s="258"/>
      <c r="AK100" s="11"/>
      <c r="AL100" s="57"/>
      <c r="AM100" s="57"/>
      <c r="AN100" s="57"/>
      <c r="AO100" s="57"/>
      <c r="AP100" s="57"/>
      <c r="AQ100" s="57"/>
      <c r="AR100" s="11"/>
      <c r="AS100" s="3"/>
    </row>
    <row r="101" spans="1:45" ht="18.75" customHeight="1" x14ac:dyDescent="0.25">
      <c r="A101" s="231" t="str">
        <f>IF($AL94&gt;4,"5","")</f>
        <v/>
      </c>
      <c r="B101" s="266" t="s">
        <v>8</v>
      </c>
      <c r="C101" s="267"/>
      <c r="D101" s="267"/>
      <c r="E101" s="236">
        <f>AU12</f>
        <v>0</v>
      </c>
      <c r="F101" s="237"/>
      <c r="G101" s="237"/>
      <c r="H101" s="237"/>
      <c r="I101" s="237"/>
      <c r="J101" s="237"/>
      <c r="K101" s="237"/>
      <c r="L101" s="238"/>
      <c r="M101" s="239">
        <f>IF($AL95=0,AG153,AG135)</f>
        <v>0</v>
      </c>
      <c r="N101" s="240"/>
      <c r="O101" s="240"/>
      <c r="P101" s="240"/>
      <c r="Q101" s="240"/>
      <c r="R101" s="220"/>
      <c r="S101" s="239">
        <f>IF($AL95=0,AH153,AH135)</f>
        <v>0</v>
      </c>
      <c r="T101" s="240"/>
      <c r="U101" s="240"/>
      <c r="V101" s="240"/>
      <c r="W101" s="240"/>
      <c r="X101" s="239">
        <f>AR113</f>
        <v>0</v>
      </c>
      <c r="Y101" s="240"/>
      <c r="Z101" s="240"/>
      <c r="AA101" s="243">
        <f>IF(AG147&gt;0,(AR113/AG147),0)</f>
        <v>0</v>
      </c>
      <c r="AB101" s="244"/>
      <c r="AC101" s="244"/>
      <c r="AD101" s="247">
        <f>IF(AG161=0,0,(AG153/AG161))</f>
        <v>0</v>
      </c>
      <c r="AE101" s="248"/>
      <c r="AF101" s="249"/>
      <c r="AG101" s="253"/>
      <c r="AH101" s="253"/>
      <c r="AI101" s="255"/>
      <c r="AJ101" s="256"/>
      <c r="AK101" s="11"/>
      <c r="AL101" s="57"/>
      <c r="AM101" s="57"/>
      <c r="AN101" s="57"/>
      <c r="AO101" s="57"/>
      <c r="AP101" s="57"/>
      <c r="AQ101" s="57"/>
      <c r="AR101" s="11"/>
      <c r="AS101" s="3"/>
    </row>
    <row r="102" spans="1:45" ht="18.75" customHeight="1" thickBot="1" x14ac:dyDescent="0.3">
      <c r="A102" s="232"/>
      <c r="B102" s="277" t="s">
        <v>9</v>
      </c>
      <c r="C102" s="278"/>
      <c r="D102" s="278"/>
      <c r="E102" s="279">
        <f>AV12</f>
        <v>0</v>
      </c>
      <c r="F102" s="280"/>
      <c r="G102" s="280"/>
      <c r="H102" s="280"/>
      <c r="I102" s="280"/>
      <c r="J102" s="280"/>
      <c r="K102" s="280"/>
      <c r="L102" s="280"/>
      <c r="M102" s="268"/>
      <c r="N102" s="269"/>
      <c r="O102" s="269"/>
      <c r="P102" s="269"/>
      <c r="Q102" s="269"/>
      <c r="R102" s="220"/>
      <c r="S102" s="241"/>
      <c r="T102" s="242"/>
      <c r="U102" s="242"/>
      <c r="V102" s="242"/>
      <c r="W102" s="242"/>
      <c r="X102" s="241"/>
      <c r="Y102" s="242"/>
      <c r="Z102" s="242"/>
      <c r="AA102" s="245"/>
      <c r="AB102" s="246"/>
      <c r="AC102" s="246"/>
      <c r="AD102" s="250"/>
      <c r="AE102" s="251"/>
      <c r="AF102" s="252"/>
      <c r="AG102" s="254"/>
      <c r="AH102" s="276"/>
      <c r="AI102" s="257"/>
      <c r="AJ102" s="258"/>
      <c r="AK102" s="11"/>
      <c r="AL102" s="57"/>
      <c r="AM102" s="57"/>
      <c r="AN102" s="57"/>
      <c r="AO102" s="57"/>
      <c r="AP102" s="57"/>
      <c r="AQ102" s="57"/>
      <c r="AR102" s="11"/>
      <c r="AS102" s="3"/>
    </row>
    <row r="103" spans="1:45" ht="21" customHeight="1" thickTop="1" thickBot="1" x14ac:dyDescent="0.3">
      <c r="A103" s="59"/>
      <c r="B103" s="281" t="s">
        <v>38</v>
      </c>
      <c r="C103" s="282"/>
      <c r="D103" s="282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  <c r="W103" s="282"/>
      <c r="X103" s="282"/>
      <c r="Y103" s="282"/>
      <c r="Z103" s="282"/>
      <c r="AA103" s="282"/>
      <c r="AB103" s="282"/>
      <c r="AC103" s="282"/>
      <c r="AD103" s="282"/>
      <c r="AE103" s="282"/>
      <c r="AF103" s="282"/>
      <c r="AG103" s="282"/>
      <c r="AH103" s="282"/>
      <c r="AI103" s="282"/>
      <c r="AJ103" s="283"/>
      <c r="AK103" s="11"/>
      <c r="AL103" s="57"/>
      <c r="AM103" s="57"/>
      <c r="AN103" s="57"/>
      <c r="AO103" s="57"/>
      <c r="AP103" s="57"/>
      <c r="AQ103" s="57"/>
      <c r="AR103" s="11"/>
      <c r="AS103" s="3"/>
    </row>
    <row r="104" spans="1:45" ht="13.5" customHeight="1" thickTop="1" x14ac:dyDescent="0.25">
      <c r="A104" t="s">
        <v>39</v>
      </c>
      <c r="B104" s="284">
        <v>0.35416666666666669</v>
      </c>
      <c r="C104" s="285"/>
      <c r="D104" s="286"/>
      <c r="E104" s="284">
        <v>0.39583333333333331</v>
      </c>
      <c r="F104" s="285"/>
      <c r="G104" s="286"/>
      <c r="H104" s="284">
        <v>0.4375</v>
      </c>
      <c r="I104" s="285"/>
      <c r="J104" s="286"/>
      <c r="K104" s="311" t="s">
        <v>92</v>
      </c>
      <c r="L104" s="284">
        <v>0.5</v>
      </c>
      <c r="M104" s="285"/>
      <c r="N104" s="286"/>
      <c r="O104" s="284">
        <v>4.1666666666666664E-2</v>
      </c>
      <c r="P104" s="285"/>
      <c r="Q104" s="286"/>
      <c r="R104" s="284">
        <v>8.3333333333333329E-2</v>
      </c>
      <c r="S104" s="285"/>
      <c r="T104" s="286"/>
      <c r="U104" s="284">
        <v>4.1666666666666664E-2</v>
      </c>
      <c r="V104" s="285"/>
      <c r="W104" s="286"/>
      <c r="X104" s="284">
        <v>7.2916666666666671E-2</v>
      </c>
      <c r="Y104" s="285"/>
      <c r="Z104" s="286"/>
      <c r="AA104" s="284">
        <v>0.10416666666666667</v>
      </c>
      <c r="AB104" s="285"/>
      <c r="AC104" s="286"/>
      <c r="AD104" s="284">
        <v>0.13541666666666666</v>
      </c>
      <c r="AE104" s="285"/>
      <c r="AF104" s="286"/>
      <c r="AG104" s="290" t="s">
        <v>40</v>
      </c>
      <c r="AH104" s="291"/>
      <c r="AI104" s="291"/>
      <c r="AJ104" s="291"/>
      <c r="AK104" s="292"/>
      <c r="AL104" s="292"/>
      <c r="AM104" s="292"/>
      <c r="AN104" s="292"/>
      <c r="AO104" s="292"/>
      <c r="AP104" s="292"/>
      <c r="AQ104" s="292"/>
      <c r="AR104" s="293"/>
    </row>
    <row r="105" spans="1:45" x14ac:dyDescent="0.25">
      <c r="A105" s="60" t="s">
        <v>41</v>
      </c>
      <c r="B105" s="298"/>
      <c r="C105" s="299"/>
      <c r="D105" s="300"/>
      <c r="E105" s="298"/>
      <c r="F105" s="299"/>
      <c r="G105" s="300"/>
      <c r="H105" s="298"/>
      <c r="I105" s="299"/>
      <c r="J105" s="300"/>
      <c r="K105" s="312"/>
      <c r="L105" s="298"/>
      <c r="M105" s="299"/>
      <c r="N105" s="300"/>
      <c r="O105" s="298"/>
      <c r="P105" s="299"/>
      <c r="Q105" s="300"/>
      <c r="R105" s="298"/>
      <c r="S105" s="299"/>
      <c r="T105" s="300"/>
      <c r="U105" s="298"/>
      <c r="V105" s="299"/>
      <c r="W105" s="300"/>
      <c r="X105" s="298"/>
      <c r="Y105" s="299"/>
      <c r="Z105" s="300"/>
      <c r="AA105" s="298"/>
      <c r="AB105" s="299"/>
      <c r="AC105" s="300"/>
      <c r="AD105" s="298"/>
      <c r="AE105" s="299"/>
      <c r="AF105" s="300"/>
      <c r="AG105" s="290"/>
      <c r="AH105" s="291"/>
      <c r="AI105" s="291"/>
      <c r="AJ105" s="291"/>
      <c r="AK105" s="291"/>
      <c r="AL105" s="291"/>
      <c r="AM105" s="291"/>
      <c r="AN105" s="291"/>
      <c r="AO105" s="291"/>
      <c r="AP105" s="291"/>
      <c r="AQ105" s="291"/>
      <c r="AR105" s="294"/>
    </row>
    <row r="106" spans="1:45" x14ac:dyDescent="0.25">
      <c r="A106" s="60" t="s">
        <v>42</v>
      </c>
      <c r="B106" s="298"/>
      <c r="C106" s="299"/>
      <c r="D106" s="300"/>
      <c r="E106" s="298"/>
      <c r="F106" s="299"/>
      <c r="G106" s="300"/>
      <c r="H106" s="298"/>
      <c r="I106" s="299"/>
      <c r="J106" s="300"/>
      <c r="K106" s="312"/>
      <c r="L106" s="298"/>
      <c r="M106" s="299"/>
      <c r="N106" s="300"/>
      <c r="O106" s="298"/>
      <c r="P106" s="299"/>
      <c r="Q106" s="300"/>
      <c r="R106" s="298"/>
      <c r="S106" s="299"/>
      <c r="T106" s="300"/>
      <c r="U106" s="298"/>
      <c r="V106" s="299"/>
      <c r="W106" s="300"/>
      <c r="X106" s="298"/>
      <c r="Y106" s="299"/>
      <c r="Z106" s="300"/>
      <c r="AA106" s="298"/>
      <c r="AB106" s="299"/>
      <c r="AC106" s="300"/>
      <c r="AD106" s="298"/>
      <c r="AE106" s="299"/>
      <c r="AF106" s="300"/>
      <c r="AG106" s="290"/>
      <c r="AH106" s="291"/>
      <c r="AI106" s="291"/>
      <c r="AJ106" s="291"/>
      <c r="AK106" s="291"/>
      <c r="AL106" s="291"/>
      <c r="AM106" s="291"/>
      <c r="AN106" s="291"/>
      <c r="AO106" s="291"/>
      <c r="AP106" s="291"/>
      <c r="AQ106" s="291"/>
      <c r="AR106" s="294"/>
    </row>
    <row r="107" spans="1:45" ht="13.8" thickBot="1" x14ac:dyDescent="0.3">
      <c r="A107" s="11"/>
      <c r="B107" s="301" t="s">
        <v>43</v>
      </c>
      <c r="C107" s="302"/>
      <c r="D107" s="303"/>
      <c r="E107" s="301" t="str">
        <f>IF(AL93&gt;1,"Match 2","")</f>
        <v>Match 2</v>
      </c>
      <c r="F107" s="302"/>
      <c r="G107" s="303"/>
      <c r="H107" s="301" t="str">
        <f>IF(AL93&gt;2,"Match 3","")</f>
        <v>Match 3</v>
      </c>
      <c r="I107" s="302"/>
      <c r="J107" s="303"/>
      <c r="K107" s="312"/>
      <c r="L107" s="301" t="str">
        <f>IF(AL93&gt;3,"Match 4","")</f>
        <v>Match 4</v>
      </c>
      <c r="M107" s="302"/>
      <c r="N107" s="303"/>
      <c r="O107" s="301" t="str">
        <f>IF(AL93&gt;4,"Match 5","")</f>
        <v>Match 5</v>
      </c>
      <c r="P107" s="302"/>
      <c r="Q107" s="303"/>
      <c r="R107" s="301" t="str">
        <f>IF(AL93&gt;5,"Match 6","")</f>
        <v>Match 6</v>
      </c>
      <c r="S107" s="302"/>
      <c r="T107" s="303"/>
      <c r="U107" s="301" t="str">
        <f>IF(AL93&gt;6,"Match 7","")</f>
        <v/>
      </c>
      <c r="V107" s="302"/>
      <c r="W107" s="303"/>
      <c r="X107" s="301" t="str">
        <f>IF(AL93&gt;7,"Match 8","")</f>
        <v/>
      </c>
      <c r="Y107" s="302"/>
      <c r="Z107" s="303"/>
      <c r="AA107" s="301" t="str">
        <f>IF(AL93&gt;8,"Match 9","")</f>
        <v/>
      </c>
      <c r="AB107" s="302"/>
      <c r="AC107" s="303"/>
      <c r="AD107" s="301" t="str">
        <f>IF(AL93&gt;9,"Match 10","")</f>
        <v/>
      </c>
      <c r="AE107" s="302"/>
      <c r="AF107" s="303"/>
      <c r="AG107" s="295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7"/>
    </row>
    <row r="108" spans="1:45" ht="15.6" x14ac:dyDescent="0.3">
      <c r="A108" s="11"/>
      <c r="B108" s="304" t="s">
        <v>46</v>
      </c>
      <c r="C108" s="305"/>
      <c r="D108" s="306"/>
      <c r="E108" s="304" t="s">
        <v>44</v>
      </c>
      <c r="F108" s="305"/>
      <c r="G108" s="306"/>
      <c r="H108" s="304" t="s">
        <v>45</v>
      </c>
      <c r="I108" s="305"/>
      <c r="J108" s="306"/>
      <c r="K108" s="312"/>
      <c r="L108" s="304" t="s">
        <v>46</v>
      </c>
      <c r="M108" s="305"/>
      <c r="N108" s="306"/>
      <c r="O108" s="304" t="s">
        <v>44</v>
      </c>
      <c r="P108" s="305"/>
      <c r="Q108" s="306"/>
      <c r="R108" s="304" t="s">
        <v>45</v>
      </c>
      <c r="S108" s="305"/>
      <c r="T108" s="306"/>
      <c r="U108" s="304" t="s">
        <v>47</v>
      </c>
      <c r="V108" s="305"/>
      <c r="W108" s="306"/>
      <c r="X108" s="304" t="s">
        <v>45</v>
      </c>
      <c r="Y108" s="305"/>
      <c r="Z108" s="306"/>
      <c r="AA108" s="304" t="s">
        <v>93</v>
      </c>
      <c r="AB108" s="305"/>
      <c r="AC108" s="306"/>
      <c r="AD108" s="304" t="s">
        <v>46</v>
      </c>
      <c r="AE108" s="305"/>
      <c r="AF108" s="306"/>
      <c r="AG108" s="61" t="s">
        <v>48</v>
      </c>
      <c r="AH108" s="62">
        <v>1</v>
      </c>
      <c r="AI108" s="62">
        <v>2</v>
      </c>
      <c r="AJ108" s="62">
        <v>3</v>
      </c>
      <c r="AK108" s="62">
        <v>4</v>
      </c>
      <c r="AL108" s="62">
        <v>5</v>
      </c>
      <c r="AM108" s="62">
        <v>6</v>
      </c>
      <c r="AN108" s="62">
        <v>7</v>
      </c>
      <c r="AO108" s="62">
        <v>8</v>
      </c>
      <c r="AP108" s="62">
        <v>9</v>
      </c>
      <c r="AQ108" s="62">
        <v>10</v>
      </c>
      <c r="AR108" s="63" t="s">
        <v>49</v>
      </c>
    </row>
    <row r="109" spans="1:45" ht="15.6" x14ac:dyDescent="0.3">
      <c r="A109" s="11"/>
      <c r="B109" s="64">
        <v>1</v>
      </c>
      <c r="C109" s="65" t="s">
        <v>50</v>
      </c>
      <c r="D109" s="66">
        <v>3</v>
      </c>
      <c r="E109" s="64">
        <v>2</v>
      </c>
      <c r="F109" s="65" t="str">
        <f>IF(AL93&gt;1,"v","")</f>
        <v>v</v>
      </c>
      <c r="G109" s="66">
        <v>3</v>
      </c>
      <c r="H109" s="64">
        <v>1</v>
      </c>
      <c r="I109" s="65" t="str">
        <f>IF(AL93&gt;2,"v","")</f>
        <v>v</v>
      </c>
      <c r="J109" s="66">
        <v>2</v>
      </c>
      <c r="K109" s="312"/>
      <c r="L109" s="64">
        <v>1</v>
      </c>
      <c r="M109" s="65" t="str">
        <f>IF(AL93&gt;3,"v","")</f>
        <v>v</v>
      </c>
      <c r="N109" s="66">
        <v>3</v>
      </c>
      <c r="O109" s="64">
        <v>2</v>
      </c>
      <c r="P109" s="65" t="str">
        <f>IF(AL93&gt;4,"v","")</f>
        <v>v</v>
      </c>
      <c r="Q109" s="66">
        <v>3</v>
      </c>
      <c r="R109" s="64">
        <v>1</v>
      </c>
      <c r="S109" s="65" t="str">
        <f>IF(AL93&gt;5,"v","")</f>
        <v>v</v>
      </c>
      <c r="T109" s="66">
        <v>2</v>
      </c>
      <c r="U109" s="64">
        <v>2</v>
      </c>
      <c r="V109" s="65" t="str">
        <f>IF(AL93&gt;6,"v","")</f>
        <v/>
      </c>
      <c r="W109" s="66">
        <v>3</v>
      </c>
      <c r="X109" s="64">
        <v>1</v>
      </c>
      <c r="Y109" s="65" t="str">
        <f>IF(AL93&gt;7,"v","")</f>
        <v/>
      </c>
      <c r="Z109" s="66">
        <v>5</v>
      </c>
      <c r="AA109" s="64">
        <v>3</v>
      </c>
      <c r="AB109" s="65" t="str">
        <f>IF(AL93&gt;8,"v","")</f>
        <v/>
      </c>
      <c r="AC109" s="66">
        <v>4</v>
      </c>
      <c r="AD109" s="64">
        <v>1</v>
      </c>
      <c r="AE109" s="65" t="str">
        <f>IF(AL93&gt;9,"v","")</f>
        <v/>
      </c>
      <c r="AF109" s="66">
        <v>2</v>
      </c>
      <c r="AG109" s="67" t="str">
        <f>IF(AL94&gt;0,"Team 1","")</f>
        <v>Team 1</v>
      </c>
      <c r="AH109" s="68">
        <f>IF(AL94&lt;1,"",IF(AL93&lt;1,"",IF(B109=1,B115-D115,IF(D109=1,D115-B115,""))))</f>
        <v>14</v>
      </c>
      <c r="AI109" s="68" t="str">
        <f>IF(AL94&lt;1,"",IF(AL93&lt;2,"",IF(E109=1,E115-G115,IF(G109=1,G115-E115,""))))</f>
        <v/>
      </c>
      <c r="AJ109" s="68">
        <f>IF(AL94&lt;1,"",IF(AL93&lt;3,"",IF(H109=1,H115-J115,IF(J109=1,J115-H115,""))))</f>
        <v>11</v>
      </c>
      <c r="AK109" s="68">
        <f>IF(AL94&lt;1,"",IF(AL93&lt;4,"",IF(L109=1,L115-N115,IF(N109=1,N115-L115,""))))</f>
        <v>7</v>
      </c>
      <c r="AL109" s="68" t="str">
        <f>IF(AL94&lt;1,"",IF(AL93&lt;5,"",IF(O109=1,O115-Q115,IF(Q109=1,Q115-O115,""))))</f>
        <v/>
      </c>
      <c r="AM109" s="68">
        <f>IF(AL94&lt;1,"",IF(AL93&lt;6,"",IF(R109=1,R115-T115,IF(T109=1,T115-R115,""))))</f>
        <v>14</v>
      </c>
      <c r="AN109" s="68" t="str">
        <f>IF(AL94&lt;1,"",IF(AL93&lt;7,"",IF(U109=1,U115-W115,IF(W109=1,W115-U115,""))))</f>
        <v/>
      </c>
      <c r="AO109" s="68" t="str">
        <f>IF(AL94&lt;1,"",IF(AL93&lt;8,"",IF(X109=1,X115-Z115,IF(Z109=1,Z115-X115,""))))</f>
        <v/>
      </c>
      <c r="AP109" s="68" t="str">
        <f>IF(AL94&lt;1,"",IF(AL93&lt;9,"",IF(AA109=1,AA115-AC115,IF(AC109=1,AC115-AA115,""))))</f>
        <v/>
      </c>
      <c r="AQ109" s="68" t="str">
        <f>IF(AL94&lt;1,"",IF(AL93&lt;10,"",IF(AD109=1,AD115-AF115,IF(AF109=1,AF115-AD115,""))))</f>
        <v/>
      </c>
      <c r="AR109" s="63">
        <f>SUM(AH109:AQ109)</f>
        <v>46</v>
      </c>
    </row>
    <row r="110" spans="1:45" ht="15" x14ac:dyDescent="0.25">
      <c r="A110" t="s">
        <v>51</v>
      </c>
      <c r="B110" s="69">
        <v>35</v>
      </c>
      <c r="C110" s="70" t="s">
        <v>52</v>
      </c>
      <c r="D110" s="71">
        <v>21</v>
      </c>
      <c r="E110" s="69">
        <v>19</v>
      </c>
      <c r="F110" s="70" t="str">
        <f>IF(AL93&gt;1,"/","")</f>
        <v>/</v>
      </c>
      <c r="G110" s="71">
        <v>33</v>
      </c>
      <c r="H110" s="69">
        <v>30</v>
      </c>
      <c r="I110" s="70" t="str">
        <f>IF(AL93&gt;2,"/","")</f>
        <v>/</v>
      </c>
      <c r="J110" s="71">
        <v>19</v>
      </c>
      <c r="K110" s="312"/>
      <c r="L110" s="69">
        <v>32</v>
      </c>
      <c r="M110" s="70" t="str">
        <f>IF(AL93&gt;3,"/","")</f>
        <v>/</v>
      </c>
      <c r="N110" s="71">
        <v>25</v>
      </c>
      <c r="O110" s="69">
        <v>19</v>
      </c>
      <c r="P110" s="70" t="str">
        <f>IF(AL93&gt;4,"/","")</f>
        <v>/</v>
      </c>
      <c r="Q110" s="71">
        <v>27</v>
      </c>
      <c r="R110" s="69">
        <v>30</v>
      </c>
      <c r="S110" s="70" t="str">
        <f>IF(AL93&gt;5,"/","")</f>
        <v>/</v>
      </c>
      <c r="T110" s="71">
        <v>16</v>
      </c>
      <c r="U110" s="69"/>
      <c r="V110" s="70" t="str">
        <f>IF(AL93&gt;6,"/","")</f>
        <v/>
      </c>
      <c r="W110" s="71"/>
      <c r="X110" s="69"/>
      <c r="Y110" s="70" t="str">
        <f>IF(AL93&gt;7,"/","")</f>
        <v/>
      </c>
      <c r="Z110" s="71"/>
      <c r="AA110" s="69"/>
      <c r="AB110" s="70" t="str">
        <f>IF(AL93&gt;8,"/","")</f>
        <v/>
      </c>
      <c r="AC110" s="71"/>
      <c r="AD110" s="69"/>
      <c r="AE110" s="70" t="str">
        <f>IF(AL93&gt;9,"/","")</f>
        <v/>
      </c>
      <c r="AF110" s="71"/>
      <c r="AG110" s="67" t="str">
        <f>IF(AL94&gt;1,"Team 2","")</f>
        <v>Team 2</v>
      </c>
      <c r="AH110" s="68" t="str">
        <f>IF(AL94&lt;2,"",IF(AL93&lt;1,"",IF(B109=2,B115-D115,IF(D109=2,D115-B115,""))))</f>
        <v/>
      </c>
      <c r="AI110" s="68">
        <f>IF(AL94&lt;2,"",IF(AL93&lt;2,"",IF(E109=2,E115-G115,IF(G109=2,G115-E115,""))))</f>
        <v>-14</v>
      </c>
      <c r="AJ110" s="68">
        <f>IF(AL94&lt;2,"",IF(AL93&lt;3,"",IF(H109=2,H115-J115,IF(J109=2,J115-H115,""))))</f>
        <v>-11</v>
      </c>
      <c r="AK110" s="68" t="str">
        <f>IF(AL94&lt;2,"",IF(AL93&lt;4,"",IF(L109=2,L115-N115,IF(N109=2,N115-L115,""))))</f>
        <v/>
      </c>
      <c r="AL110" s="68">
        <f>IF(AL94&lt;2,"",IF(AL93&lt;5,"",IF(O109=2,O115-Q115,IF(Q109=2,Q115-O115,""))))</f>
        <v>-8</v>
      </c>
      <c r="AM110" s="68">
        <f>IF(AL94&lt;2,"",IF(AL93&lt;6,"",IF(R109=2,R115-T115,IF(T109=2,T115-R115,""))))</f>
        <v>-14</v>
      </c>
      <c r="AN110" s="68" t="str">
        <f>IF(AL94&lt;2,"",IF(AL93&lt;7,"",IF(U109=2,U115-W115,IF(W109=2,W115-U115,""))))</f>
        <v/>
      </c>
      <c r="AO110" s="68" t="str">
        <f>IF(AL94&lt;2,"",IF(AL93&lt;8,"",IF(X109=2,X115-Z115,IF(Z109=2,Z115-X115,""))))</f>
        <v/>
      </c>
      <c r="AP110" s="68" t="str">
        <f>IF(AL94&lt;2,"",IF(AL93&lt;9,"",IF(AA109=2,AA115-AC115,IF(AC109=2,AC115-AA115,""))))</f>
        <v/>
      </c>
      <c r="AQ110" s="68" t="str">
        <f>IF(AL94&lt;2,"",IF(AL93&lt;10,"",IF(AD109=2,AD115-AF115,IF(AF109=2,AF115-AD115,""))))</f>
        <v/>
      </c>
      <c r="AR110" s="63">
        <f>SUM(AH110:AQ110)</f>
        <v>-47</v>
      </c>
    </row>
    <row r="111" spans="1:45" ht="15" x14ac:dyDescent="0.25">
      <c r="A111" s="3" t="str">
        <f>IF(AL92&gt;1,"Game 2","")</f>
        <v/>
      </c>
      <c r="B111" s="69"/>
      <c r="C111" s="70" t="s">
        <v>52</v>
      </c>
      <c r="D111" s="71"/>
      <c r="E111" s="69"/>
      <c r="F111" s="70" t="str">
        <f>IF(AL93&gt;1,IF(AL92&gt;1,"/",""),"")</f>
        <v/>
      </c>
      <c r="G111" s="71"/>
      <c r="H111" s="69"/>
      <c r="I111" s="70" t="str">
        <f>IF(AL93&gt;2,IF(AL92&gt;1,"/",""),"")</f>
        <v/>
      </c>
      <c r="J111" s="71"/>
      <c r="K111" s="312"/>
      <c r="L111" s="69"/>
      <c r="M111" s="70" t="str">
        <f>IF(AL93&gt;3,IF(AL92&gt;1,"/",""),"")</f>
        <v/>
      </c>
      <c r="N111" s="71"/>
      <c r="O111" s="69"/>
      <c r="P111" s="70" t="str">
        <f>IF(AL93&gt;4,IF(AL92&gt;1,"/",""),"")</f>
        <v/>
      </c>
      <c r="Q111" s="71"/>
      <c r="R111" s="69"/>
      <c r="S111" s="70" t="str">
        <f>IF(AL93&gt;5,IF(AL92&gt;1,"/",""),"")</f>
        <v/>
      </c>
      <c r="T111" s="71"/>
      <c r="U111" s="69"/>
      <c r="V111" s="70" t="str">
        <f>IF(AL93&gt;6,IF(AL92&gt;1,"/",""),"")</f>
        <v/>
      </c>
      <c r="W111" s="71"/>
      <c r="X111" s="69"/>
      <c r="Y111" s="70" t="str">
        <f>IF(AL93&gt;7,IF(AL92&gt;1,"/",""),"")</f>
        <v/>
      </c>
      <c r="Z111" s="71"/>
      <c r="AA111" s="69"/>
      <c r="AB111" s="70" t="str">
        <f>IF(AL93&gt;8,IF(AL92&gt;1,"/",""),"")</f>
        <v/>
      </c>
      <c r="AC111" s="71"/>
      <c r="AD111" s="69"/>
      <c r="AE111" s="70" t="str">
        <f>IF(AL93&gt;9,IF(AL92&gt;1,"/",""),"")</f>
        <v/>
      </c>
      <c r="AF111" s="71"/>
      <c r="AG111" s="67" t="str">
        <f>IF(AL94&gt;2,"Team 3","")</f>
        <v>Team 3</v>
      </c>
      <c r="AH111" s="68">
        <f>IF(AL94&lt;3,"",IF(AL93&lt;1,"",IF(B109=3,B115-D115,IF(D109=3,D115-B115,""))))</f>
        <v>-14</v>
      </c>
      <c r="AI111" s="68">
        <f>IF(AL94&lt;3,"",IF(AL93&lt;2,"",IF(E109=3,E115-G115,IF(G109=3,G115-E115,""))))</f>
        <v>14</v>
      </c>
      <c r="AJ111" s="68" t="str">
        <f>IF(AL94&lt;3,"",IF(AL93&lt;3,"",IF(H109=3,H115-J115,IF(J109=3,J115-H115,""))))</f>
        <v/>
      </c>
      <c r="AK111" s="68">
        <f>IF(AL94&lt;3,"",IF(AL93&lt;4,"",IF(L109=3,L115-N115,IF(N109=3,N115-L115,""))))</f>
        <v>-7</v>
      </c>
      <c r="AL111" s="68">
        <f>IF(AL94&lt;3,"",IF(AL93&lt;5,"",IF(O109=3,O115-Q115,IF(Q109=3,Q115-O115,""))))</f>
        <v>8</v>
      </c>
      <c r="AM111" s="68" t="str">
        <f>IF(AL94&lt;3,"",IF(AL93&lt;6,"",IF(R109=3,R115-T115,IF(T109=3,T115-R115,""))))</f>
        <v/>
      </c>
      <c r="AN111" s="68" t="str">
        <f>IF(AL94&lt;3,"",IF(AL93&lt;7,"",IF(U109=3,U115-W115,IF(W109=3,W115-U115,""))))</f>
        <v/>
      </c>
      <c r="AO111" s="68" t="str">
        <f>IF(AL94&lt;3,"",IF(AL93&lt;8,"",IF(X109=3,X115-Z115,IF(Z109=3,Z115-X115,""))))</f>
        <v/>
      </c>
      <c r="AP111" s="68" t="str">
        <f>IF(AL94&lt;3,"",IF(AL93&lt;9,"",IF(AA109=3,AA115-AC115,IF(AC109=3,AC115-AA115,""))))</f>
        <v/>
      </c>
      <c r="AQ111" s="68" t="str">
        <f>IF(AL94&lt;3,"",IF(AL93&lt;9,"",IF(AD109=3,AD115-AF115,IF(AF109=3,AF115-AD115,""))))</f>
        <v/>
      </c>
      <c r="AR111" s="63">
        <f>SUM(AH111:AQ111)</f>
        <v>1</v>
      </c>
    </row>
    <row r="112" spans="1:45" ht="15" x14ac:dyDescent="0.25">
      <c r="A112" s="3" t="str">
        <f>IF(AL92&gt;2,"Game 3","")</f>
        <v/>
      </c>
      <c r="B112" s="69"/>
      <c r="C112" s="70" t="s">
        <v>52</v>
      </c>
      <c r="D112" s="71"/>
      <c r="E112" s="69"/>
      <c r="F112" s="70" t="str">
        <f>IF(AL93&gt;1,IF(AL92&gt;2,"/",""),"")</f>
        <v/>
      </c>
      <c r="G112" s="71"/>
      <c r="H112" s="69"/>
      <c r="I112" s="70" t="str">
        <f>IF(AL93&gt;2,IF(AL92&gt;2,"/",""),"")</f>
        <v/>
      </c>
      <c r="J112" s="71"/>
      <c r="K112" s="312"/>
      <c r="L112" s="69"/>
      <c r="M112" s="70" t="str">
        <f>IF(AL93&gt;3,IF(AL92&gt;2,"/",""),"")</f>
        <v/>
      </c>
      <c r="N112" s="71"/>
      <c r="O112" s="69"/>
      <c r="P112" s="70" t="str">
        <f>IF(AL93&gt;4,IF(AL92&gt;2,"/",""),"")</f>
        <v/>
      </c>
      <c r="Q112" s="71"/>
      <c r="R112" s="69"/>
      <c r="S112" s="70" t="str">
        <f>IF(AL93&gt;5,IF(AL92&gt;2,"/",""),"")</f>
        <v/>
      </c>
      <c r="T112" s="71"/>
      <c r="U112" s="69"/>
      <c r="V112" s="70" t="str">
        <f>IF(AL93&gt;6,IF(AL92&gt;2,"/",""),"")</f>
        <v/>
      </c>
      <c r="W112" s="71"/>
      <c r="X112" s="69"/>
      <c r="Y112" s="70" t="str">
        <f>IF(AL93&gt;7,IF(AL92&gt;2,"/",""),"")</f>
        <v/>
      </c>
      <c r="Z112" s="71"/>
      <c r="AA112" s="69"/>
      <c r="AB112" s="70" t="str">
        <f>IF(AL93&gt;8,IF(AL92&gt;2,"/",""),"")</f>
        <v/>
      </c>
      <c r="AC112" s="71"/>
      <c r="AD112" s="69"/>
      <c r="AE112" s="70" t="str">
        <f>IF(AL93&gt;9,IF(AL92&gt;2,"/",""),"")</f>
        <v/>
      </c>
      <c r="AF112" s="71"/>
      <c r="AG112" s="67" t="str">
        <f>IF(AL94&gt;3,"Team 4","")</f>
        <v/>
      </c>
      <c r="AH112" s="68" t="str">
        <f>IF(AL94&lt;4,"",IF(AL93&lt;1,"",IF(B109=4,B115-D115,IF(D109=4,D115-B115,""))))</f>
        <v/>
      </c>
      <c r="AI112" s="68" t="str">
        <f>IF(AL94&lt;4,"",IF(AL93&lt;2,"",IF(E109=4,E115-G115,IF(G109=4,G115-E115,""))))</f>
        <v/>
      </c>
      <c r="AJ112" s="68" t="str">
        <f>IF(AL94&lt;4,"",IF(AL93&lt;3,"",IF(H109=4,H115-J115,IF(J109=4,J115-H115,""))))</f>
        <v/>
      </c>
      <c r="AK112" s="68" t="str">
        <f>IF(AL94&lt;4,"",IF(AL93&lt;4,"",IF(L109=4,L115-N115,IF(N109=4,N115-L115,""))))</f>
        <v/>
      </c>
      <c r="AL112" s="68" t="str">
        <f>IF(AL94&lt;4,"",IF(AL93&lt;5,"",IF(O109=4,O115-Q115,IF(Q109=4,Q115-O115,""))))</f>
        <v/>
      </c>
      <c r="AM112" s="68" t="str">
        <f>IF(AL94&lt;4,"",IF(AL93&lt;6,"",IF(R109=4,R115-T115,IF(T109=4,T115-R115,""))))</f>
        <v/>
      </c>
      <c r="AN112" s="68" t="str">
        <f>IF(AL94&lt;4,"",IF(AL93&lt;7,"",IF(U109=4,U115-W115,IF(W109=4,W115-U115,""))))</f>
        <v/>
      </c>
      <c r="AO112" s="68" t="str">
        <f>IF(AL94&lt;4,"",IF(AL93&lt;8,"",IF(X109=4,X115-Z115,IF(Z109=4,Z115-X115,""))))</f>
        <v/>
      </c>
      <c r="AP112" s="68" t="str">
        <f>IF(AL94&lt;4,"",IF(AL93&lt;9,"",IF(AA109=4,AA115-AC115,IF(AC109=4,AC115-AA115,""))))</f>
        <v/>
      </c>
      <c r="AQ112" s="68" t="str">
        <f>IF(AL94&lt;4,"",IF(AL93&lt;10,"",IF(AD109=4,AD115-AF115,IF(AF109=4,AF115-AD115,""))))</f>
        <v/>
      </c>
      <c r="AR112" s="63">
        <f>SUM(AH112:AQ112)</f>
        <v>0</v>
      </c>
    </row>
    <row r="113" spans="1:44" ht="15" x14ac:dyDescent="0.25">
      <c r="A113" s="3" t="str">
        <f>IF(AL92&gt;3,"Game 4","")</f>
        <v/>
      </c>
      <c r="B113" s="69"/>
      <c r="C113" s="70" t="s">
        <v>52</v>
      </c>
      <c r="D113" s="71"/>
      <c r="E113" s="69"/>
      <c r="F113" s="70" t="str">
        <f>IF(AL93&gt;1,IF(AL92&gt;3,"/",""),"")</f>
        <v/>
      </c>
      <c r="G113" s="71"/>
      <c r="H113" s="69"/>
      <c r="I113" s="70" t="str">
        <f>IF(AL93&gt;2,IF(AL92&gt;3,"/",""),"")</f>
        <v/>
      </c>
      <c r="J113" s="71"/>
      <c r="K113" s="312"/>
      <c r="L113" s="69"/>
      <c r="M113" s="70" t="str">
        <f>IF(AL93&gt;3,IF(AL92&gt;3,"/",""),"")</f>
        <v/>
      </c>
      <c r="N113" s="71"/>
      <c r="O113" s="69"/>
      <c r="P113" s="70" t="str">
        <f>IF(AL93&gt;4,IF(AL92&gt;3,"/",""),"")</f>
        <v/>
      </c>
      <c r="Q113" s="71"/>
      <c r="R113" s="69"/>
      <c r="S113" s="70" t="str">
        <f>IF(AL93&gt;5,IF(AL92&gt;3,"/",""),"")</f>
        <v/>
      </c>
      <c r="T113" s="71"/>
      <c r="U113" s="69"/>
      <c r="V113" s="70" t="str">
        <f>IF(AL93&gt;6,IF(AL92&gt;3,"/",""),"")</f>
        <v/>
      </c>
      <c r="W113" s="71"/>
      <c r="X113" s="69"/>
      <c r="Y113" s="70" t="str">
        <f>IF(AL93&gt;7,IF(AL92&gt;3,"/",""),"")</f>
        <v/>
      </c>
      <c r="Z113" s="71"/>
      <c r="AA113" s="69"/>
      <c r="AB113" s="70" t="str">
        <f>IF(AL93&gt;8,IF(AL92&gt;3,"/",""),"")</f>
        <v/>
      </c>
      <c r="AC113" s="71"/>
      <c r="AD113" s="69"/>
      <c r="AE113" s="70" t="str">
        <f>IF(AL93&gt;9,IF(AL92&gt;3,"/",""),"")</f>
        <v/>
      </c>
      <c r="AF113" s="71"/>
      <c r="AG113" s="67" t="str">
        <f>IF(AL94&gt;4,"Team 5","")</f>
        <v/>
      </c>
      <c r="AH113" s="72" t="str">
        <f>IF(AL94&lt;5,"",IF(AL93&lt;1,"",IF(B109=5,B115-D115,IF(D109=5,D115-B115,""))))</f>
        <v/>
      </c>
      <c r="AI113" s="68" t="str">
        <f>IF(AL94&lt;5,"",IF(AL93&lt;2,"",IF(E109=5,E115-G115,IF(G109=5,G115-E115,""))))</f>
        <v/>
      </c>
      <c r="AJ113" s="68" t="str">
        <f>IF(AL94&lt;5,"",IF(AL93&lt;3,"",IF(H109=5,H115-J115,IF(J109=5,J115-H115,""))))</f>
        <v/>
      </c>
      <c r="AK113" s="68" t="str">
        <f>IF(AL94&lt;5,"",IF(AL93&lt;4,"",IF(L109=5,L115-N115,IF(N109=5,N115-L115,""))))</f>
        <v/>
      </c>
      <c r="AL113" s="68" t="str">
        <f>IF(AL94&lt;5,"",IF(AL93&lt;5,"",IF(O109=5,O115-Q115,IF(Q109=5,Q115-O115,""))))</f>
        <v/>
      </c>
      <c r="AM113" s="68" t="str">
        <f>IF(AL94&lt;5,"",IF(AL93&lt;6,"",IF(R109=5,R115-T115,IF(T109=5,T115-R115,""))))</f>
        <v/>
      </c>
      <c r="AN113" s="68" t="str">
        <f>IF(AL94&lt;5,"",IF(AL93&lt;7,"",IF(U109=5,U115-W115,IF(W109=5,W115-U115,""))))</f>
        <v/>
      </c>
      <c r="AO113" s="68" t="str">
        <f>IF(AL94&lt;5,"",IF(AL93&lt;8,"",IF(X109=5,X115-Z115,IF(Z109=5,Z115-X115,""))))</f>
        <v/>
      </c>
      <c r="AP113" s="68" t="str">
        <f>IF(AL94&lt;5,"",IF(AL93&lt;9,"",IF(AA109=5,AA115-AC115,IF(AC109=5,AC115-AA115,""))))</f>
        <v/>
      </c>
      <c r="AQ113" s="68" t="str">
        <f>IF(AL94&lt;5,"",IF(AL93&lt;10,"",IF(AD109=5,AD115-AF115,IF(AF109=5,AF115-AD115,""))))</f>
        <v/>
      </c>
      <c r="AR113" s="63">
        <f>SUM(AH113:AQ113)</f>
        <v>0</v>
      </c>
    </row>
    <row r="114" spans="1:44" ht="15" x14ac:dyDescent="0.25">
      <c r="A114" s="3" t="str">
        <f>IF(AL92&gt;4,"Game 5","")</f>
        <v/>
      </c>
      <c r="B114" s="69"/>
      <c r="C114" s="70" t="s">
        <v>52</v>
      </c>
      <c r="D114" s="71"/>
      <c r="E114" s="69"/>
      <c r="F114" s="70" t="str">
        <f>IF(AL93&gt;1,IF(AL92&gt;4,"/",""),"")</f>
        <v/>
      </c>
      <c r="G114" s="71"/>
      <c r="H114" s="69"/>
      <c r="I114" s="70" t="str">
        <f>IF(AL93&gt;2,IF(AL92&gt;4,"/",""),"")</f>
        <v/>
      </c>
      <c r="J114" s="71"/>
      <c r="K114" s="313"/>
      <c r="L114" s="69"/>
      <c r="M114" s="70" t="str">
        <f>IF(AL93&gt;3,IF(AL92&gt;4,"/",""),"")</f>
        <v/>
      </c>
      <c r="N114" s="71"/>
      <c r="O114" s="69"/>
      <c r="P114" s="70" t="str">
        <f>IF(AL93&gt;4,IF(AL92&gt;4,"/",""),"")</f>
        <v/>
      </c>
      <c r="Q114" s="71"/>
      <c r="R114" s="69"/>
      <c r="S114" s="70" t="str">
        <f>IF(AL93&gt;5,IF(AL92&gt;4,"/",""),"")</f>
        <v/>
      </c>
      <c r="T114" s="71"/>
      <c r="U114" s="69"/>
      <c r="V114" s="70" t="str">
        <f>IF(AL93&gt;6,IF(AL92&gt;4,"/",""),"")</f>
        <v/>
      </c>
      <c r="W114" s="71"/>
      <c r="X114" s="69"/>
      <c r="Y114" s="70" t="str">
        <f>IF(AL93&gt;7,IF(AL92&gt;4,"/",""),"")</f>
        <v/>
      </c>
      <c r="Z114" s="71"/>
      <c r="AA114" s="69"/>
      <c r="AB114" s="70" t="str">
        <f>IF(AL93&gt;8,IF(AL92&gt;4,"/",""),"")</f>
        <v/>
      </c>
      <c r="AC114" s="71"/>
      <c r="AD114" s="69"/>
      <c r="AE114" s="70" t="str">
        <f>IF(AL93&gt;9,IF(AL92&gt;4,"/",""),"")</f>
        <v/>
      </c>
      <c r="AF114" s="7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</row>
    <row r="115" spans="1:44" hidden="1" x14ac:dyDescent="0.25">
      <c r="A115" s="73"/>
      <c r="B115" s="73">
        <f>IF($AL92=5,SUM(B110:B114),IF($AL92=4,SUM(B110:B113),IF($AL92=3,SUM(B110:B112),IF($AL92=2,SUM(B110:B111),B110))))</f>
        <v>35</v>
      </c>
      <c r="C115" s="73"/>
      <c r="D115" s="73">
        <f>IF($AL92=5,SUM(D110:D114),IF($AL92=4,SUM(D110:D113),IF($AL92=3,SUM(D110:D112),IF($AL92=2,SUM(D110:D111),D110))))</f>
        <v>21</v>
      </c>
      <c r="E115" s="73">
        <f>IF($AL92=5,SUM(E110:E114),IF($AL92=4,SUM(E110:E113),IF($AL92=3,SUM(E110:E112),IF($AL92=2,SUM(E110:E111),E110))))</f>
        <v>19</v>
      </c>
      <c r="F115" s="73"/>
      <c r="G115" s="73">
        <f>IF($AL92=5,SUM(G110:G114),IF($AL92=4,SUM(G110:G113),IF($AL92=3,SUM(G110:G112),IF($AL92=2,SUM(G110:G111),G110))))</f>
        <v>33</v>
      </c>
      <c r="H115" s="73">
        <f>IF($AL92=5,SUM(H110:H114),IF($AL92=4,SUM(H110:H113),IF($AL92=3,SUM(H110:H112),IF($AL92=2,SUM(H110:H111),H110))))</f>
        <v>30</v>
      </c>
      <c r="I115" s="73"/>
      <c r="J115" s="73">
        <f>IF($AL92=5,SUM(J110:J114),IF($AL92=4,SUM(J110:J113),IF($AL92=3,SUM(J110:J112),IF($AL92=2,SUM(J110:J111),J110))))</f>
        <v>19</v>
      </c>
      <c r="K115" s="73"/>
      <c r="L115" s="73">
        <f>IF($AL92=5,SUM(L110:L114),IF($AL92=4,SUM(L110:L113),IF($AL92=3,SUM(L110:L112),IF($AL92=2,SUM(L110:L111),L110))))</f>
        <v>32</v>
      </c>
      <c r="M115" s="73"/>
      <c r="N115" s="73">
        <f>IF($AL92=5,SUM(N110:N114),IF($AL92=4,SUM(N110:N113),IF($AL92=3,SUM(N110:N112),IF($AL92=2,SUM(N110:N111),N110))))</f>
        <v>25</v>
      </c>
      <c r="O115" s="73">
        <f>IF($AL92=5,SUM(O110:O114),IF($AL92=4,SUM(O110:O113),IF($AL92=3,SUM(O110:O112),IF($AL92=2,SUM(O110:O111),O110))))</f>
        <v>19</v>
      </c>
      <c r="P115" s="73"/>
      <c r="Q115" s="73">
        <f>IF($AL92=5,SUM(Q110:Q114),IF($AL92=4,SUM(Q110:Q113),IF($AL92=3,SUM(Q110:Q112),IF($AL92=2,SUM(Q110:Q111),Q110))))</f>
        <v>27</v>
      </c>
      <c r="R115" s="73">
        <f>IF($AL92=5,SUM(R110:R114),IF($AL92=4,SUM(R110:R113),IF($AL92=3,SUM(R110:R112),IF($AL92=2,SUM(R110:R111),R110))))</f>
        <v>30</v>
      </c>
      <c r="S115" s="73"/>
      <c r="T115" s="73">
        <f>IF($AL92=5,SUM(T110:T114),IF($AL92=4,SUM(T110:T113),IF($AL92=3,SUM(T110:T112),IF($AL92=2,SUM(T110:T111),T110))))</f>
        <v>16</v>
      </c>
      <c r="U115" s="73">
        <f>IF($AL92=5,SUM(U110:U114),IF($AL92=4,SUM(U110:U113),IF($AL92=3,SUM(U110:U112),IF($AL92=2,SUM(U110:U111),U110))))</f>
        <v>0</v>
      </c>
      <c r="V115" s="73"/>
      <c r="W115" s="73">
        <f>IF($AL92=5,SUM(W110:W114),IF($AL92=4,SUM(W110:W113),IF($AL92=3,SUM(W110:W112),IF($AL92=2,SUM(W110:W111),W110))))</f>
        <v>0</v>
      </c>
      <c r="X115" s="73">
        <f>IF($AL92=5,SUM(X110:X114),IF($AL92=4,SUM(X110:X113),IF($AL92=3,SUM(X110:X112),IF($AL92=2,SUM(X110:X111),X110))))</f>
        <v>0</v>
      </c>
      <c r="Y115" s="73"/>
      <c r="Z115" s="73">
        <f>IF($AL92=5,SUM(Z110:Z114),IF($AL92=4,SUM(Z110:Z113),IF($AL92=3,SUM(Z110:Z112),IF($AL92=2,SUM(Z110:Z111),Z110))))</f>
        <v>0</v>
      </c>
      <c r="AA115" s="73">
        <f>IF($AL92=5,SUM(AA110:AA114),IF($AL92=4,SUM(AA110:AA113),IF($AL92=3,SUM(AA110:AA112),IF($AL92=2,SUM(AA110:AA111),AA110))))</f>
        <v>0</v>
      </c>
      <c r="AB115" s="73"/>
      <c r="AC115" s="73">
        <f>IF($AL92=5,SUM(AC110:AC114),IF($AL92=4,SUM(AC110:AC113),IF($AL92=3,SUM(AC110:AC112),IF($AL92=2,SUM(AC110:AC111),AC110))))</f>
        <v>0</v>
      </c>
      <c r="AD115" s="73">
        <f>IF($AL92=5,SUM(AD110:AD114),IF($AL92=4,SUM(AD110:AD113),IF($AL92=3,SUM(AD110:AD112),IF($AL92=2,SUM(AD110:AD111),AD110))))</f>
        <v>0</v>
      </c>
      <c r="AE115" s="73"/>
      <c r="AF115" s="73">
        <f>IF($AL92=5,SUM(AF110:AF114),IF($AL92=4,SUM(AF110:AF113),IF($AL92=3,SUM(AF110:AF112),IF($AL92=2,SUM(AF110:AF111),AF110))))</f>
        <v>0</v>
      </c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</row>
    <row r="116" spans="1:44" s="74" customFormat="1" ht="12.75" hidden="1" customHeight="1" x14ac:dyDescent="0.25">
      <c r="A116" s="74" t="s">
        <v>53</v>
      </c>
      <c r="B116" s="75">
        <f>IF(AND(B110&gt;D110,$AL93&gt;0,ISNUMBER(B110),ISNUMBER(D110)),1,0)</f>
        <v>1</v>
      </c>
      <c r="C116" s="75"/>
      <c r="D116" s="76">
        <f>IF(AND(D110&gt;B110,$AL93&gt;0,ISNUMBER(B110),ISNUMBER(D110)),1,0)</f>
        <v>0</v>
      </c>
      <c r="E116" s="75">
        <f>IF(AND(E110&gt;G110,$AL93&gt;1,ISNUMBER(E110),ISNUMBER(G110)),1,0)</f>
        <v>0</v>
      </c>
      <c r="F116" s="75"/>
      <c r="G116" s="76">
        <f>IF(AND(G110&gt;E110,$AL93&gt;1,ISNUMBER(E110),ISNUMBER(G110)),1,0)</f>
        <v>1</v>
      </c>
      <c r="H116" s="75">
        <f>IF(AND(H110&gt;J110,$AL93&gt;2,ISNUMBER(H110),ISNUMBER(J110)),1,0)</f>
        <v>1</v>
      </c>
      <c r="I116" s="75"/>
      <c r="J116" s="76">
        <f>IF(AND(J110&gt;H110,$AL93&gt;2,ISNUMBER(H110),ISNUMBER(J110)),1,0)</f>
        <v>0</v>
      </c>
      <c r="K116" s="77"/>
      <c r="L116" s="75">
        <f>IF(AND(L110&gt;N110,$AL93&gt;3,ISNUMBER(L110),ISNUMBER(N110)),1,0)</f>
        <v>1</v>
      </c>
      <c r="M116" s="75"/>
      <c r="N116" s="76">
        <f>IF(AND(N110&gt;L110,$AL93&gt;3,ISNUMBER(L110),ISNUMBER(N110)),1,0)</f>
        <v>0</v>
      </c>
      <c r="O116" s="75">
        <f>IF(AND(O110&gt;Q110,$AL93&gt;4,ISNUMBER(O110),ISNUMBER(Q110)),1,0)</f>
        <v>0</v>
      </c>
      <c r="P116" s="75"/>
      <c r="Q116" s="76">
        <f>IF(AND(Q110&gt;O110,$AL93&gt;4,ISNUMBER(O110),ISNUMBER(Q110)),1,0)</f>
        <v>1</v>
      </c>
      <c r="R116" s="75">
        <f>IF(AND(R110&gt;T110,$AL93&gt;5,ISNUMBER(R110),ISNUMBER(T110)),1,0)</f>
        <v>1</v>
      </c>
      <c r="S116" s="75"/>
      <c r="T116" s="76">
        <f>IF(AND(T110&gt;R110,$AL93&gt;5,ISNUMBER(R110),ISNUMBER(T110)),1,0)</f>
        <v>0</v>
      </c>
      <c r="U116" s="75">
        <f>IF(AND(U110&gt;W110,$AL93&gt;6,ISNUMBER(U110),ISNUMBER(W110)),1,0)</f>
        <v>0</v>
      </c>
      <c r="V116" s="75"/>
      <c r="W116" s="76">
        <f>IF(AND(W110&gt;U110,$AL93&gt;6,ISNUMBER(U110),ISNUMBER(W110)),1,0)</f>
        <v>0</v>
      </c>
      <c r="X116" s="75">
        <f>IF(AND(X110&gt;Z110,$AL93&gt;7,ISNUMBER(X110),ISNUMBER(Z110)),1,0)</f>
        <v>0</v>
      </c>
      <c r="Y116" s="75"/>
      <c r="Z116" s="76">
        <f>IF(AND(Z110&gt;X110,$AL93&gt;7,ISNUMBER(X110),ISNUMBER(Z110)),1,0)</f>
        <v>0</v>
      </c>
      <c r="AA116" s="75">
        <f>IF(AND(AA110&gt;AC110,$AL93&gt;8,ISNUMBER(AA110),ISNUMBER(AC110)),1,0)</f>
        <v>0</v>
      </c>
      <c r="AB116" s="75"/>
      <c r="AC116" s="76">
        <f>IF(AND(AC110&gt;AA110,$AL93&gt;8,ISNUMBER(AA110),ISNUMBER(AC110)),1,0)</f>
        <v>0</v>
      </c>
      <c r="AD116" s="75">
        <f>IF(AND(AD110&gt;AF110,$AL93&gt;9,ISNUMBER(AD110),ISNUMBER(AF110)),1,0)</f>
        <v>0</v>
      </c>
      <c r="AE116" s="75"/>
      <c r="AF116" s="76">
        <f>IF(AND(AF110&gt;AD110,$AL93&gt;9,ISNUMBER(AD110),ISNUMBER(AF110)),1,0)</f>
        <v>0</v>
      </c>
    </row>
    <row r="117" spans="1:44" s="74" customFormat="1" ht="12.75" hidden="1" customHeight="1" x14ac:dyDescent="0.25">
      <c r="A117" s="74" t="s">
        <v>54</v>
      </c>
      <c r="B117" s="75">
        <f>IF(AND(B111&gt;D111,$AL93&gt;0,$AL92&gt;1,ISNUMBER(B111),ISNUMBER(D111)),1,0)</f>
        <v>0</v>
      </c>
      <c r="C117" s="75"/>
      <c r="D117" s="76">
        <f>IF(AND(D111&gt;B111,$AL93&gt;0,$AL92&gt;1,ISNUMBER(B111),ISNUMBER(D111)),1,0)</f>
        <v>0</v>
      </c>
      <c r="E117" s="75">
        <f>IF(AND(E111&gt;G111,$AL93&gt;1,$AL92&gt;1,ISNUMBER(E111),ISNUMBER(G111)),1,0)</f>
        <v>0</v>
      </c>
      <c r="F117" s="75"/>
      <c r="G117" s="76">
        <f>IF(AND(G111&gt;E111,$AL93&gt;1,$AL92&gt;1,ISNUMBER(E111),ISNUMBER(G111)),1,0)</f>
        <v>0</v>
      </c>
      <c r="H117" s="75">
        <f>IF(AND(H111&gt;J111,$AL93&gt;2,$AL92&gt;1,ISNUMBER(H111),ISNUMBER(J111)),1,0)</f>
        <v>0</v>
      </c>
      <c r="I117" s="75"/>
      <c r="J117" s="76">
        <f>IF(AND(J111&gt;H111,$AL93&gt;2,$AL92&gt;1,ISNUMBER(H111),ISNUMBER(J111)),1,0)</f>
        <v>0</v>
      </c>
      <c r="K117" s="77"/>
      <c r="L117" s="75">
        <f>IF(AND(L111&gt;N111,$AL93&gt;3,$AL92&gt;1,ISNUMBER(L111),ISNUMBER(N111)),1,0)</f>
        <v>0</v>
      </c>
      <c r="M117" s="75"/>
      <c r="N117" s="76">
        <f>IF(AND(N111&gt;L111,$AL93&gt;3,$AL92&gt;1,ISNUMBER(L111),ISNUMBER(N111)),1,0)</f>
        <v>0</v>
      </c>
      <c r="O117" s="75">
        <f>IF(AND(O111&gt;Q111,$AL93&gt;4,$AL92&gt;1,ISNUMBER(O111),ISNUMBER(Q111)),1,0)</f>
        <v>0</v>
      </c>
      <c r="P117" s="75"/>
      <c r="Q117" s="76">
        <f>IF(AND(Q111&gt;O111,$AL93&gt;4,$AL92&gt;1,ISNUMBER(O111),ISNUMBER(Q111)),1,0)</f>
        <v>0</v>
      </c>
      <c r="R117" s="75">
        <f>IF(AND(R111&gt;T111,$AL93&gt;5,$AL92&gt;1,ISNUMBER(R111),ISNUMBER(T111)),1,0)</f>
        <v>0</v>
      </c>
      <c r="S117" s="75"/>
      <c r="T117" s="76">
        <f>IF(AND(T111&gt;R111,$AL93&gt;5,$AL92&gt;1,ISNUMBER(R111),ISNUMBER(T111)),1,0)</f>
        <v>0</v>
      </c>
      <c r="U117" s="75">
        <f>IF(AND(U111&gt;W111,$AL93&gt;6,$AL92&gt;1,ISNUMBER(U111),ISNUMBER(W111)),1,0)</f>
        <v>0</v>
      </c>
      <c r="V117" s="75"/>
      <c r="W117" s="76">
        <f>IF(AND(W111&gt;U111,$AL93&gt;6,$AL92&gt;1,ISNUMBER(U111),ISNUMBER(W111)),1,0)</f>
        <v>0</v>
      </c>
      <c r="X117" s="75">
        <f>IF(AND(X111&gt;Z111,$AL93&gt;7,$AL92&gt;1,ISNUMBER(X111),ISNUMBER(Z111)),1,0)</f>
        <v>0</v>
      </c>
      <c r="Y117" s="75"/>
      <c r="Z117" s="76">
        <f>IF(AND(Z111&gt;X111,$AL93&gt;7,$AL92&gt;1,ISNUMBER(X111),ISNUMBER(Z111)),1,0)</f>
        <v>0</v>
      </c>
      <c r="AA117" s="75">
        <f>IF(AND(AA111&gt;AC111,$AL93&gt;8,$AL92&gt;1,ISNUMBER(AA111),ISNUMBER(AC111)),1,0)</f>
        <v>0</v>
      </c>
      <c r="AB117" s="75"/>
      <c r="AC117" s="76">
        <f>IF(AND(AC111&gt;AA111,$AL93&gt;8,$AL92&gt;1,ISNUMBER(AA111),ISNUMBER(AC111)),1,0)</f>
        <v>0</v>
      </c>
      <c r="AD117" s="75">
        <f>IF(AND(AD111&gt;AF111,$AL93&gt;9,$AL92&gt;1,ISNUMBER(AD111),ISNUMBER(AF111)),1,0)</f>
        <v>0</v>
      </c>
      <c r="AE117" s="75"/>
      <c r="AF117" s="76">
        <f>IF(AND(AF111&gt;AD111,$AL93&gt;9,$AL92&gt;1,ISNUMBER(AD111),ISNUMBER(AF111)),1,0)</f>
        <v>0</v>
      </c>
    </row>
    <row r="118" spans="1:44" s="74" customFormat="1" ht="12.75" hidden="1" customHeight="1" x14ac:dyDescent="0.25">
      <c r="A118" s="74" t="s">
        <v>55</v>
      </c>
      <c r="B118" s="75">
        <f>IF(AND(B112&gt;D112,$AL93&gt;0,$AL92&gt;2,ISNUMBER(B112),ISNUMBER(D112)),1,0)</f>
        <v>0</v>
      </c>
      <c r="C118" s="75"/>
      <c r="D118" s="76">
        <f>IF(AND(D112&gt;B112,$AL93&gt;0,$AL92&gt;2,ISNUMBER(B112),ISNUMBER(D112)),1,0)</f>
        <v>0</v>
      </c>
      <c r="E118" s="75">
        <f>IF(AND(E112&gt;G112,$AL93&gt;1,$AL92&gt;2,ISNUMBER(E112),ISNUMBER(G112)),1,0)</f>
        <v>0</v>
      </c>
      <c r="F118" s="75"/>
      <c r="G118" s="76">
        <f>IF(AND(G112&gt;E112,$AL93&gt;1,$AL92&gt;2,ISNUMBER(E112),ISNUMBER(G112)),1,0)</f>
        <v>0</v>
      </c>
      <c r="H118" s="75">
        <f>IF(AND(H112&gt;J112,$AL93&gt;2,$AL92&gt;2,ISNUMBER(H112),ISNUMBER(J112)),1,0)</f>
        <v>0</v>
      </c>
      <c r="I118" s="75"/>
      <c r="J118" s="76">
        <f>IF(AND(J112&gt;H112,$AL93&gt;2,$AL92&gt;2,ISNUMBER(H112),ISNUMBER(J112)),1,0)</f>
        <v>0</v>
      </c>
      <c r="K118" s="77"/>
      <c r="L118" s="75">
        <f>IF(AND(L112&gt;N112,$AL93&gt;3,$AL92&gt;2,ISNUMBER(L112),ISNUMBER(N112)),1,0)</f>
        <v>0</v>
      </c>
      <c r="M118" s="75"/>
      <c r="N118" s="76">
        <f>IF(AND(N112&gt;L112,$AL93&gt;3,$AL92&gt;2,ISNUMBER(L112),ISNUMBER(N112)),1,0)</f>
        <v>0</v>
      </c>
      <c r="O118" s="75">
        <f>IF(AND(O112&gt;Q112,$AL93&gt;4,$AL92&gt;2,ISNUMBER(O112),ISNUMBER(Q112)),1,0)</f>
        <v>0</v>
      </c>
      <c r="P118" s="75"/>
      <c r="Q118" s="76">
        <f>IF(AND(Q112&gt;O112,$AL93&gt;4,$AL92&gt;2,ISNUMBER(O112),ISNUMBER(Q112)),1,0)</f>
        <v>0</v>
      </c>
      <c r="R118" s="75">
        <f>IF(AND(R112&gt;T112,$AL93&gt;5,$AL92&gt;2,ISNUMBER(R112),ISNUMBER(T112)),1,0)</f>
        <v>0</v>
      </c>
      <c r="S118" s="75"/>
      <c r="T118" s="76">
        <f>IF(AND(T112&gt;R112,$AL93&gt;5,$AL92&gt;2,ISNUMBER(R112),ISNUMBER(T112)),1,0)</f>
        <v>0</v>
      </c>
      <c r="U118" s="75">
        <f>IF(AND(U112&gt;W112,$AL93&gt;6,$AL92&gt;2,ISNUMBER(U112),ISNUMBER(W112)),1,0)</f>
        <v>0</v>
      </c>
      <c r="V118" s="75"/>
      <c r="W118" s="76">
        <f>IF(AND(W112&gt;U112,$AL93&gt;6,$AL92&gt;2,ISNUMBER(U112),ISNUMBER(W112)),1,0)</f>
        <v>0</v>
      </c>
      <c r="X118" s="75">
        <f>IF(AND(X112&gt;Z112,$AL93&gt;7,$AL92&gt;2,ISNUMBER(X112),ISNUMBER(Z112)),1,0)</f>
        <v>0</v>
      </c>
      <c r="Y118" s="75"/>
      <c r="Z118" s="76">
        <f>IF(AND(Z112&gt;X112,$AL93&gt;7,$AL92&gt;2,ISNUMBER(X112),ISNUMBER(Z112)),1,0)</f>
        <v>0</v>
      </c>
      <c r="AA118" s="75">
        <f>IF(AND(AA112&gt;AC112,$AL93&gt;8,$AL92&gt;2,ISNUMBER(AA112),ISNUMBER(AC112)),1,0)</f>
        <v>0</v>
      </c>
      <c r="AB118" s="75"/>
      <c r="AC118" s="76">
        <f>IF(AND(AC112&gt;AA112,$AL93&gt;8,$AL92&gt;2,ISNUMBER(AA112),ISNUMBER(AC112)),1,0)</f>
        <v>0</v>
      </c>
      <c r="AD118" s="75">
        <f>IF(AND(AD112&gt;AF112,$AL93&gt;9,$AL92&gt;2,ISNUMBER(AD112),ISNUMBER(AF112)),1,0)</f>
        <v>0</v>
      </c>
      <c r="AE118" s="75"/>
      <c r="AF118" s="76">
        <f>IF(AND(AF112&gt;AD112,$AL93&gt;9,$AL92&gt;2,ISNUMBER(AD112),ISNUMBER(AF112)),1,0)</f>
        <v>0</v>
      </c>
    </row>
    <row r="119" spans="1:44" s="74" customFormat="1" ht="12.75" hidden="1" customHeight="1" x14ac:dyDescent="0.25">
      <c r="A119" s="74" t="s">
        <v>56</v>
      </c>
      <c r="B119" s="75">
        <f>IF(AND(B113&gt;D113,$AL93&gt;0,$AL92&gt;3,ISNUMBER(B113),ISNUMBER(D113)),1,0)</f>
        <v>0</v>
      </c>
      <c r="C119" s="75"/>
      <c r="D119" s="76">
        <f>IF(AND(D113&gt;B113,$AL93&gt;0,$AL92&gt;3,ISNUMBER(B113),ISNUMBER(D113)),1,0)</f>
        <v>0</v>
      </c>
      <c r="E119" s="75">
        <f>IF(AND(E113&gt;G113,$AL93&gt;1,$AL92&gt;3,ISNUMBER(E113),ISNUMBER(G113)),1,0)</f>
        <v>0</v>
      </c>
      <c r="F119" s="75"/>
      <c r="G119" s="76">
        <f>IF(AND(G113&gt;E113,$AL93&gt;1,$AL92&gt;3,ISNUMBER(E113),ISNUMBER(G113)),1,0)</f>
        <v>0</v>
      </c>
      <c r="H119" s="75">
        <f>IF(AND(H113&gt;J113,$AL93&gt;2,$AL92&gt;3,ISNUMBER(H113),ISNUMBER(J113)),1,0)</f>
        <v>0</v>
      </c>
      <c r="I119" s="75"/>
      <c r="J119" s="76">
        <f>IF(AND(J113&gt;H113,$AL93&gt;2,$AL92&gt;3,ISNUMBER(H113),ISNUMBER(J113)),1,0)</f>
        <v>0</v>
      </c>
      <c r="K119" s="77"/>
      <c r="L119" s="75">
        <f>IF(AND(L113&gt;N113,$AL93&gt;3,$AL92&gt;3,ISNUMBER(L113),ISNUMBER(N113)),1,0)</f>
        <v>0</v>
      </c>
      <c r="M119" s="75"/>
      <c r="N119" s="76">
        <f>IF(AND(N113&gt;L113,$AL93&gt;3,$AL92&gt;3,ISNUMBER(L113),ISNUMBER(N113)),1,0)</f>
        <v>0</v>
      </c>
      <c r="O119" s="75">
        <f>IF(AND(O113&gt;Q113,$AL93&gt;4,$AL92&gt;3,ISNUMBER(O113),ISNUMBER(Q113)),1,0)</f>
        <v>0</v>
      </c>
      <c r="P119" s="75"/>
      <c r="Q119" s="76">
        <f>IF(AND(Q113&gt;O113,$AL93&gt;4,$AL92&gt;3,ISNUMBER(O113),ISNUMBER(Q113)),1,0)</f>
        <v>0</v>
      </c>
      <c r="R119" s="75">
        <f>IF(AND(R113&gt;T113,$AL93&gt;5,$AL92&gt;3,ISNUMBER(R113),ISNUMBER(T113)),1,0)</f>
        <v>0</v>
      </c>
      <c r="S119" s="75"/>
      <c r="T119" s="76">
        <f>IF(AND(T113&gt;R113,$AL93&gt;5,$AL92&gt;3,ISNUMBER(R113),ISNUMBER(T113)),1,0)</f>
        <v>0</v>
      </c>
      <c r="U119" s="75">
        <f>IF(AND(U113&gt;W113,$AL93&gt;6,$AL92&gt;3,ISNUMBER(U113),ISNUMBER(W113)),1,0)</f>
        <v>0</v>
      </c>
      <c r="V119" s="75"/>
      <c r="W119" s="76">
        <f>IF(AND(W113&gt;U113,$AL93&gt;6,$AL92&gt;3,ISNUMBER(U113),ISNUMBER(W113)),1,0)</f>
        <v>0</v>
      </c>
      <c r="X119" s="75">
        <f>IF(AND(X113&gt;Z113,$AL93&gt;7,$AL92&gt;3,ISNUMBER(X113),ISNUMBER(Z113)),1,0)</f>
        <v>0</v>
      </c>
      <c r="Y119" s="75"/>
      <c r="Z119" s="76">
        <f>IF(AND(Z113&gt;X113,$AL93&gt;7,$AL92&gt;3,ISNUMBER(X113),ISNUMBER(Z113)),1,0)</f>
        <v>0</v>
      </c>
      <c r="AA119" s="75">
        <f>IF(AND(AA113&gt;AC113,$AL93&gt;8,$AL92&gt;3,ISNUMBER(AA113),ISNUMBER(AC113)),1,0)</f>
        <v>0</v>
      </c>
      <c r="AB119" s="75"/>
      <c r="AC119" s="76">
        <f>IF(AND(AC113&gt;AA113,$AL93&gt;8,$AL92&gt;3,ISNUMBER(AA113),ISNUMBER(AC113)),1,0)</f>
        <v>0</v>
      </c>
      <c r="AD119" s="75">
        <f>IF(AND(AD113&gt;AF113,$AL93&gt;9,$AL92&gt;3,ISNUMBER(AD113),ISNUMBER(AF113)),1,0)</f>
        <v>0</v>
      </c>
      <c r="AE119" s="75"/>
      <c r="AF119" s="76">
        <f>IF(AND(AF113&gt;AD113,$AL93&gt;9,$AL92&gt;3,ISNUMBER(AD113),ISNUMBER(AF113)),1,0)</f>
        <v>0</v>
      </c>
    </row>
    <row r="120" spans="1:44" s="74" customFormat="1" ht="12.75" hidden="1" customHeight="1" x14ac:dyDescent="0.25">
      <c r="A120" s="74" t="s">
        <v>57</v>
      </c>
      <c r="B120" s="75">
        <f>IF(AND(B114&gt;D114,$AL93&gt;0,$AL92&gt;4,ISNUMBER(B114),ISNUMBER(D114)),1,0)</f>
        <v>0</v>
      </c>
      <c r="C120" s="75"/>
      <c r="D120" s="76">
        <f>IF(AND(D114&gt;B114,$AL93&gt;0,$AL92&gt;4,ISNUMBER(B114),ISNUMBER(D114)),1,0)</f>
        <v>0</v>
      </c>
      <c r="E120" s="75">
        <f>IF(AND(E114&gt;G114,$AL93&gt;1,$AL92&gt;4,ISNUMBER(E114),ISNUMBER(G114)),1,0)</f>
        <v>0</v>
      </c>
      <c r="F120" s="75"/>
      <c r="G120" s="76">
        <f>IF(AND(G114&gt;E114,$AL93&gt;1,$AL92&gt;4,ISNUMBER(E114),ISNUMBER(G114)),1,0)</f>
        <v>0</v>
      </c>
      <c r="H120" s="75">
        <f>IF(AND(H114&gt;J114,$AL93&gt;2,$AL92&gt;4,ISNUMBER(H114),ISNUMBER(J114)),1,0)</f>
        <v>0</v>
      </c>
      <c r="I120" s="75"/>
      <c r="J120" s="76">
        <f>IF(AND(J114&gt;H114,$AL93&gt;2,$AL92&gt;4,ISNUMBER(H114),ISNUMBER(J114)),1,0)</f>
        <v>0</v>
      </c>
      <c r="K120" s="77"/>
      <c r="L120" s="75">
        <f>IF(AND(L114&gt;N114,$AL93&gt;3,$AL92&gt;4,ISNUMBER(L114),ISNUMBER(N114)),1,0)</f>
        <v>0</v>
      </c>
      <c r="M120" s="75"/>
      <c r="N120" s="76">
        <f>IF(AND(N114&gt;L114,$AL93&gt;3,$AL92&gt;4,ISNUMBER(L114),ISNUMBER(N114)),1,0)</f>
        <v>0</v>
      </c>
      <c r="O120" s="75">
        <f>IF(AND(O114&gt;Q114,$AL93&gt;4,$AL92&gt;4,ISNUMBER(O114),ISNUMBER(Q114)),1,0)</f>
        <v>0</v>
      </c>
      <c r="P120" s="75"/>
      <c r="Q120" s="76">
        <f>IF(AND(Q114&gt;O114,$AL93&gt;4,$AL92&gt;4,ISNUMBER(O114),ISNUMBER(Q114)),1,0)</f>
        <v>0</v>
      </c>
      <c r="R120" s="75">
        <f>IF(AND(R114&gt;T114,$AL93&gt;5,$AL92&gt;4,ISNUMBER(R114),ISNUMBER(T114)),1,0)</f>
        <v>0</v>
      </c>
      <c r="S120" s="75"/>
      <c r="T120" s="76">
        <f>IF(AND(T114&gt;R114,$AL93&gt;5,$AL92&gt;4,ISNUMBER(R114),ISNUMBER(T114)),1,0)</f>
        <v>0</v>
      </c>
      <c r="U120" s="75">
        <f>IF(AND(U114&gt;W114,$AL93&gt;6,$AL92&gt;4,ISNUMBER(U114),ISNUMBER(W114)),1,0)</f>
        <v>0</v>
      </c>
      <c r="V120" s="75"/>
      <c r="W120" s="76">
        <f>IF(AND(W114&gt;U114,$AL93&gt;6,$AL92&gt;4,ISNUMBER(U114),ISNUMBER(W114)),1,0)</f>
        <v>0</v>
      </c>
      <c r="X120" s="75">
        <f>IF(AND(X114&gt;Z114,$AL93&gt;7,$AL92&gt;4,ISNUMBER(X114),ISNUMBER(Z114)),1,0)</f>
        <v>0</v>
      </c>
      <c r="Y120" s="75"/>
      <c r="Z120" s="76">
        <f>IF(AND(Z114&gt;X114,$AL93&gt;7,$AL92&gt;4,ISNUMBER(X114),ISNUMBER(Z114)),1,0)</f>
        <v>0</v>
      </c>
      <c r="AA120" s="75">
        <f>IF(AND(AA114&gt;AC114,$AL93&gt;8,$AL92&gt;4,ISNUMBER(AA114),ISNUMBER(AC114)),1,0)</f>
        <v>0</v>
      </c>
      <c r="AB120" s="75"/>
      <c r="AC120" s="76">
        <f>IF(AND(AC114&gt;AA114,$AL93&gt;8,$AL92&gt;4,ISNUMBER(AA114),ISNUMBER(AC114)),1,0)</f>
        <v>0</v>
      </c>
      <c r="AD120" s="75">
        <f>IF(AND(AD114&gt;AF114,$AL93&gt;9,$AL92&gt;4,ISNUMBER(AD114),ISNUMBER(AF114)),1,0)</f>
        <v>0</v>
      </c>
      <c r="AE120" s="75"/>
      <c r="AF120" s="76">
        <f>IF(AND(AF114&gt;AD114,$AL93&gt;9,$AL92&gt;4,ISNUMBER(AD114),ISNUMBER(AF114)),1,0)</f>
        <v>0</v>
      </c>
    </row>
    <row r="121" spans="1:44" s="74" customFormat="1" ht="38.25" hidden="1" customHeight="1" x14ac:dyDescent="0.25">
      <c r="A121" s="78" t="s">
        <v>58</v>
      </c>
      <c r="B121" s="74">
        <f>SUM(B116:B120)</f>
        <v>1</v>
      </c>
      <c r="D121" s="77">
        <f>SUM(D116:D120)</f>
        <v>0</v>
      </c>
      <c r="E121" s="74">
        <f>SUM(E116:E120)</f>
        <v>0</v>
      </c>
      <c r="G121" s="77">
        <f>SUM(G116:G120)</f>
        <v>1</v>
      </c>
      <c r="H121" s="74">
        <f>SUM(H116:H120)</f>
        <v>1</v>
      </c>
      <c r="J121" s="77">
        <f>SUM(J116:J120)</f>
        <v>0</v>
      </c>
      <c r="K121" s="77"/>
      <c r="L121" s="74">
        <f>SUM(L116:L120)</f>
        <v>1</v>
      </c>
      <c r="N121" s="77">
        <f>SUM(N116:N120)</f>
        <v>0</v>
      </c>
      <c r="O121" s="74">
        <f>SUM(O116:O120)</f>
        <v>0</v>
      </c>
      <c r="Q121" s="77">
        <f>SUM(Q116:Q120)</f>
        <v>1</v>
      </c>
      <c r="R121" s="74">
        <f>SUM(R116:R120)</f>
        <v>1</v>
      </c>
      <c r="T121" s="77">
        <f>SUM(T116:T120)</f>
        <v>0</v>
      </c>
      <c r="U121" s="74">
        <f>SUM(U116:U120)</f>
        <v>0</v>
      </c>
      <c r="W121" s="77">
        <f>SUM(W116:W120)</f>
        <v>0</v>
      </c>
      <c r="X121" s="74">
        <f>SUM(X116:X120)</f>
        <v>0</v>
      </c>
      <c r="Z121" s="77">
        <f>SUM(Z116:Z120)</f>
        <v>0</v>
      </c>
      <c r="AA121" s="74">
        <f>SUM(AA116:AA120)</f>
        <v>0</v>
      </c>
      <c r="AC121" s="77">
        <f>SUM(AC116:AC120)</f>
        <v>0</v>
      </c>
      <c r="AD121" s="74">
        <f>SUM(AD116:AD120)</f>
        <v>0</v>
      </c>
      <c r="AF121" s="77">
        <f>SUM(AF116:AF120)</f>
        <v>0</v>
      </c>
    </row>
    <row r="122" spans="1:44" s="74" customFormat="1" ht="25.5" hidden="1" customHeight="1" x14ac:dyDescent="0.25">
      <c r="A122" s="78" t="s">
        <v>59</v>
      </c>
      <c r="B122" s="74">
        <f>IF(B121&gt;D121,IF(C156=AL92,1,IF(C156=AL92-1,1,0)),0)</f>
        <v>1</v>
      </c>
      <c r="C122" s="74">
        <f>B122+D122</f>
        <v>1</v>
      </c>
      <c r="D122" s="77">
        <f>IF(D121&gt;B121,IF(C156=AL92,1,IF(C156=AL92-1,1,0)),0)</f>
        <v>0</v>
      </c>
      <c r="E122" s="74">
        <f>IF(E121&gt;G121,IF(F156=AL92,1,IF(F156=AL92-1,1,0)),0)</f>
        <v>0</v>
      </c>
      <c r="F122" s="74">
        <f>E122+G122</f>
        <v>1</v>
      </c>
      <c r="G122" s="77">
        <f>IF(G121&gt;E121,IF(F156=AL92,1,IF(F156=AL92-1,1,0)),0)</f>
        <v>1</v>
      </c>
      <c r="H122" s="74">
        <f>IF(H121&gt;J121,IF(I156=AL92,1,IF(I156=AL92-1,1,0)),0)</f>
        <v>1</v>
      </c>
      <c r="I122" s="74">
        <f>H122+J122</f>
        <v>1</v>
      </c>
      <c r="J122" s="77">
        <f>IF(J121&gt;H121,IF(I156=AL92,1,IF(I156=AL92-1,1,0)),0)</f>
        <v>0</v>
      </c>
      <c r="K122" s="77"/>
      <c r="L122" s="74">
        <f>IF(L121&gt;N121,IF(M156=AL92,1,IF(M156=AL92-1,1,0)),0)</f>
        <v>1</v>
      </c>
      <c r="M122" s="74">
        <f>L122+N122</f>
        <v>1</v>
      </c>
      <c r="N122" s="77">
        <f>IF(N121&gt;L121,IF(M156=AL92,1,IF(M156=AL92-1,1,0)),0)</f>
        <v>0</v>
      </c>
      <c r="O122" s="74">
        <f>IF(O121&gt;Q121,IF(P156=AL92,1,IF(P156=AL92-1,1,0)),0)</f>
        <v>0</v>
      </c>
      <c r="P122" s="74">
        <f>O122+Q122</f>
        <v>1</v>
      </c>
      <c r="Q122" s="77">
        <f>IF(Q121&gt;O121,IF(P156=AL92,1,IF(P156=AL92-1,1,0)),0)</f>
        <v>1</v>
      </c>
      <c r="R122" s="74">
        <f>IF(R121&gt;T121,IF(S156=AL92,1,IF(S156=AL92-1,1,0)),0)</f>
        <v>1</v>
      </c>
      <c r="S122" s="74">
        <f>R122+T122</f>
        <v>1</v>
      </c>
      <c r="T122" s="77">
        <f>IF(T121&gt;R121,IF(S156=AL92,1,IF(S156=AL92-1,1,0)),0)</f>
        <v>0</v>
      </c>
      <c r="U122" s="74">
        <f>IF(U121&gt;W121,IF(V156=AL92,1,IF(V156=AL92-1,1,0)),0)</f>
        <v>0</v>
      </c>
      <c r="V122" s="74">
        <f>U122+W122</f>
        <v>0</v>
      </c>
      <c r="W122" s="77">
        <f>IF(W121&gt;U121,IF(V156=AL92,1,IF(V156=AL92-1,1,0)),0)</f>
        <v>0</v>
      </c>
      <c r="X122" s="74">
        <f>IF(X121&gt;Z121,IF(Y156=AL92,1,IF(Y156=AL92-1,1,0)),0)</f>
        <v>0</v>
      </c>
      <c r="Y122" s="74">
        <f>X122+Z122</f>
        <v>0</v>
      </c>
      <c r="Z122" s="77">
        <f>IF(Z121&gt;X121,IF(Y156=AL92,1,IF(Y156=AL92-1,1,0)),0)</f>
        <v>0</v>
      </c>
      <c r="AA122" s="74">
        <f>IF(AA121&gt;AC121,IF(AB156=AL92,1,IF(AB156=AL92-1,1,0)),0)</f>
        <v>0</v>
      </c>
      <c r="AB122" s="74">
        <f>AA122+AC122</f>
        <v>0</v>
      </c>
      <c r="AC122" s="77">
        <f>IF(AC121&gt;AA121,IF(AB156=AL92,1,IF(AB156=AL92-1,1,0)),0)</f>
        <v>0</v>
      </c>
      <c r="AD122" s="74">
        <f>IF(AD121&gt;AF121,IF(AE156=AL92,1,IF(AE156=AL92-1,1,0)),0)</f>
        <v>0</v>
      </c>
      <c r="AE122" s="74">
        <f>AD122+AF122</f>
        <v>0</v>
      </c>
      <c r="AF122" s="77">
        <f>IF(AF121&gt;AD121,IF(AE156=AL92,1,IF(AE156=AL92-1,1,0)),0)</f>
        <v>0</v>
      </c>
    </row>
    <row r="123" spans="1:44" s="74" customFormat="1" ht="25.5" hidden="1" customHeight="1" x14ac:dyDescent="0.25">
      <c r="A123" s="78"/>
      <c r="D123" s="77"/>
      <c r="G123" s="77"/>
      <c r="J123" s="77"/>
      <c r="K123" s="77"/>
      <c r="N123" s="77"/>
      <c r="Q123" s="77"/>
      <c r="T123" s="77"/>
      <c r="W123" s="77"/>
      <c r="Z123" s="77"/>
      <c r="AC123" s="77"/>
      <c r="AF123" s="77"/>
    </row>
    <row r="124" spans="1:44" s="74" customFormat="1" ht="12.75" hidden="1" customHeight="1" x14ac:dyDescent="0.25">
      <c r="A124" s="74" t="s">
        <v>60</v>
      </c>
      <c r="B124" s="74">
        <f>IF(B116=1,B110,0)</f>
        <v>35</v>
      </c>
      <c r="D124" s="77">
        <f t="shared" ref="D124:E128" si="10">IF(D116=1,D110,0)</f>
        <v>0</v>
      </c>
      <c r="E124" s="74">
        <f t="shared" si="10"/>
        <v>0</v>
      </c>
      <c r="G124" s="77">
        <f t="shared" ref="G124:H128" si="11">IF(G116=1,G110,0)</f>
        <v>33</v>
      </c>
      <c r="H124" s="74">
        <f t="shared" si="11"/>
        <v>30</v>
      </c>
      <c r="J124" s="77">
        <f>IF(J116=1,J110,0)</f>
        <v>0</v>
      </c>
      <c r="K124" s="77"/>
      <c r="L124" s="74">
        <f>IF(L116=1,L110,0)</f>
        <v>32</v>
      </c>
      <c r="N124" s="77">
        <f t="shared" ref="N124:O128" si="12">IF(N116=1,N110,0)</f>
        <v>0</v>
      </c>
      <c r="O124" s="74">
        <f t="shared" si="12"/>
        <v>0</v>
      </c>
      <c r="Q124" s="77">
        <f t="shared" ref="Q124:R128" si="13">IF(Q116=1,Q110,0)</f>
        <v>27</v>
      </c>
      <c r="R124" s="74">
        <f t="shared" si="13"/>
        <v>30</v>
      </c>
      <c r="T124" s="77">
        <f t="shared" ref="T124:U128" si="14">IF(T116=1,T110,0)</f>
        <v>0</v>
      </c>
      <c r="U124" s="74">
        <f t="shared" si="14"/>
        <v>0</v>
      </c>
      <c r="W124" s="77">
        <f t="shared" ref="W124:X128" si="15">IF(W116=1,W110,0)</f>
        <v>0</v>
      </c>
      <c r="X124" s="74">
        <f t="shared" si="15"/>
        <v>0</v>
      </c>
      <c r="Z124" s="77">
        <f t="shared" ref="Z124:AA128" si="16">IF(Z116=1,Z110,0)</f>
        <v>0</v>
      </c>
      <c r="AA124" s="74">
        <f t="shared" si="16"/>
        <v>0</v>
      </c>
      <c r="AC124" s="77">
        <f t="shared" ref="AC124:AD128" si="17">IF(AC116=1,AC110,0)</f>
        <v>0</v>
      </c>
      <c r="AD124" s="74">
        <f t="shared" si="17"/>
        <v>0</v>
      </c>
      <c r="AF124" s="77">
        <f>IF(AF116=1,AF110,0)</f>
        <v>0</v>
      </c>
    </row>
    <row r="125" spans="1:44" s="74" customFormat="1" ht="12.75" hidden="1" customHeight="1" x14ac:dyDescent="0.25">
      <c r="A125" s="74" t="s">
        <v>61</v>
      </c>
      <c r="B125" s="74">
        <f>IF(B117=1,B111,0)</f>
        <v>0</v>
      </c>
      <c r="D125" s="77">
        <f t="shared" si="10"/>
        <v>0</v>
      </c>
      <c r="E125" s="74">
        <f t="shared" si="10"/>
        <v>0</v>
      </c>
      <c r="G125" s="77">
        <f t="shared" si="11"/>
        <v>0</v>
      </c>
      <c r="H125" s="74">
        <f t="shared" si="11"/>
        <v>0</v>
      </c>
      <c r="J125" s="77">
        <f>IF(J117=1,J111,0)</f>
        <v>0</v>
      </c>
      <c r="K125" s="77"/>
      <c r="L125" s="74">
        <f>IF(L117=1,L111,0)</f>
        <v>0</v>
      </c>
      <c r="N125" s="77">
        <f t="shared" si="12"/>
        <v>0</v>
      </c>
      <c r="O125" s="74">
        <f t="shared" si="12"/>
        <v>0</v>
      </c>
      <c r="Q125" s="77">
        <f t="shared" si="13"/>
        <v>0</v>
      </c>
      <c r="R125" s="74">
        <f t="shared" si="13"/>
        <v>0</v>
      </c>
      <c r="T125" s="77">
        <f t="shared" si="14"/>
        <v>0</v>
      </c>
      <c r="U125" s="74">
        <f t="shared" si="14"/>
        <v>0</v>
      </c>
      <c r="W125" s="77">
        <f t="shared" si="15"/>
        <v>0</v>
      </c>
      <c r="X125" s="74">
        <f t="shared" si="15"/>
        <v>0</v>
      </c>
      <c r="Z125" s="77">
        <f t="shared" si="16"/>
        <v>0</v>
      </c>
      <c r="AA125" s="74">
        <f t="shared" si="16"/>
        <v>0</v>
      </c>
      <c r="AC125" s="77">
        <f t="shared" si="17"/>
        <v>0</v>
      </c>
      <c r="AD125" s="74">
        <f t="shared" si="17"/>
        <v>0</v>
      </c>
      <c r="AF125" s="77">
        <f>IF(AF117=1,AF111,0)</f>
        <v>0</v>
      </c>
    </row>
    <row r="126" spans="1:44" s="74" customFormat="1" ht="12.75" hidden="1" customHeight="1" x14ac:dyDescent="0.25">
      <c r="A126" s="74" t="s">
        <v>62</v>
      </c>
      <c r="B126" s="74">
        <f>IF(B118=1,B112,0)</f>
        <v>0</v>
      </c>
      <c r="D126" s="77">
        <f t="shared" si="10"/>
        <v>0</v>
      </c>
      <c r="E126" s="74">
        <f t="shared" si="10"/>
        <v>0</v>
      </c>
      <c r="G126" s="77">
        <f t="shared" si="11"/>
        <v>0</v>
      </c>
      <c r="H126" s="74">
        <f t="shared" si="11"/>
        <v>0</v>
      </c>
      <c r="J126" s="77">
        <f>IF(J118=1,J112,0)</f>
        <v>0</v>
      </c>
      <c r="K126" s="77"/>
      <c r="L126" s="74">
        <f>IF(L118=1,L112,0)</f>
        <v>0</v>
      </c>
      <c r="N126" s="77">
        <f t="shared" si="12"/>
        <v>0</v>
      </c>
      <c r="O126" s="74">
        <f t="shared" si="12"/>
        <v>0</v>
      </c>
      <c r="Q126" s="77">
        <f t="shared" si="13"/>
        <v>0</v>
      </c>
      <c r="R126" s="74">
        <f t="shared" si="13"/>
        <v>0</v>
      </c>
      <c r="T126" s="77">
        <f t="shared" si="14"/>
        <v>0</v>
      </c>
      <c r="U126" s="74">
        <f t="shared" si="14"/>
        <v>0</v>
      </c>
      <c r="W126" s="77">
        <f t="shared" si="15"/>
        <v>0</v>
      </c>
      <c r="X126" s="74">
        <f t="shared" si="15"/>
        <v>0</v>
      </c>
      <c r="Z126" s="77">
        <f t="shared" si="16"/>
        <v>0</v>
      </c>
      <c r="AA126" s="74">
        <f t="shared" si="16"/>
        <v>0</v>
      </c>
      <c r="AC126" s="77">
        <f t="shared" si="17"/>
        <v>0</v>
      </c>
      <c r="AD126" s="74">
        <f t="shared" si="17"/>
        <v>0</v>
      </c>
      <c r="AF126" s="77">
        <f>IF(AF118=1,AF112,0)</f>
        <v>0</v>
      </c>
    </row>
    <row r="127" spans="1:44" s="74" customFormat="1" ht="12.75" hidden="1" customHeight="1" x14ac:dyDescent="0.25">
      <c r="A127" s="74" t="s">
        <v>63</v>
      </c>
      <c r="B127" s="74">
        <f>IF(B119=1,B113,0)</f>
        <v>0</v>
      </c>
      <c r="D127" s="77">
        <f t="shared" si="10"/>
        <v>0</v>
      </c>
      <c r="E127" s="74">
        <f t="shared" si="10"/>
        <v>0</v>
      </c>
      <c r="G127" s="77">
        <f t="shared" si="11"/>
        <v>0</v>
      </c>
      <c r="H127" s="74">
        <f t="shared" si="11"/>
        <v>0</v>
      </c>
      <c r="J127" s="77">
        <f>IF(J119=1,J113,0)</f>
        <v>0</v>
      </c>
      <c r="K127" s="77"/>
      <c r="L127" s="74">
        <f>IF(L119=1,L113,0)</f>
        <v>0</v>
      </c>
      <c r="N127" s="77">
        <f t="shared" si="12"/>
        <v>0</v>
      </c>
      <c r="O127" s="74">
        <f t="shared" si="12"/>
        <v>0</v>
      </c>
      <c r="Q127" s="77">
        <f t="shared" si="13"/>
        <v>0</v>
      </c>
      <c r="R127" s="74">
        <f t="shared" si="13"/>
        <v>0</v>
      </c>
      <c r="T127" s="77">
        <f t="shared" si="14"/>
        <v>0</v>
      </c>
      <c r="U127" s="74">
        <f t="shared" si="14"/>
        <v>0</v>
      </c>
      <c r="W127" s="77">
        <f t="shared" si="15"/>
        <v>0</v>
      </c>
      <c r="X127" s="74">
        <f t="shared" si="15"/>
        <v>0</v>
      </c>
      <c r="Z127" s="77">
        <f t="shared" si="16"/>
        <v>0</v>
      </c>
      <c r="AA127" s="74">
        <f t="shared" si="16"/>
        <v>0</v>
      </c>
      <c r="AC127" s="77">
        <f t="shared" si="17"/>
        <v>0</v>
      </c>
      <c r="AD127" s="74">
        <f t="shared" si="17"/>
        <v>0</v>
      </c>
      <c r="AF127" s="77">
        <f>IF(AF119=1,AF113,0)</f>
        <v>0</v>
      </c>
    </row>
    <row r="128" spans="1:44" s="74" customFormat="1" ht="12.75" hidden="1" customHeight="1" x14ac:dyDescent="0.25">
      <c r="A128" s="74" t="s">
        <v>64</v>
      </c>
      <c r="B128" s="74">
        <f>IF(B120=1,B114,0)</f>
        <v>0</v>
      </c>
      <c r="D128" s="77">
        <f t="shared" si="10"/>
        <v>0</v>
      </c>
      <c r="E128" s="74">
        <f t="shared" si="10"/>
        <v>0</v>
      </c>
      <c r="G128" s="77">
        <f t="shared" si="11"/>
        <v>0</v>
      </c>
      <c r="H128" s="74">
        <f t="shared" si="11"/>
        <v>0</v>
      </c>
      <c r="J128" s="77">
        <f>IF(J120=1,J114,0)</f>
        <v>0</v>
      </c>
      <c r="K128" s="77"/>
      <c r="L128" s="74">
        <f>IF(L120=1,L114,0)</f>
        <v>0</v>
      </c>
      <c r="N128" s="77">
        <f t="shared" si="12"/>
        <v>0</v>
      </c>
      <c r="O128" s="74">
        <f t="shared" si="12"/>
        <v>0</v>
      </c>
      <c r="Q128" s="77">
        <f t="shared" si="13"/>
        <v>0</v>
      </c>
      <c r="R128" s="74">
        <f t="shared" si="13"/>
        <v>0</v>
      </c>
      <c r="T128" s="77">
        <f t="shared" si="14"/>
        <v>0</v>
      </c>
      <c r="U128" s="74">
        <f t="shared" si="14"/>
        <v>0</v>
      </c>
      <c r="W128" s="77">
        <f t="shared" si="15"/>
        <v>0</v>
      </c>
      <c r="X128" s="74">
        <f t="shared" si="15"/>
        <v>0</v>
      </c>
      <c r="Z128" s="77">
        <f t="shared" si="16"/>
        <v>0</v>
      </c>
      <c r="AA128" s="74">
        <f t="shared" si="16"/>
        <v>0</v>
      </c>
      <c r="AC128" s="77">
        <f t="shared" si="17"/>
        <v>0</v>
      </c>
      <c r="AD128" s="74">
        <f t="shared" si="17"/>
        <v>0</v>
      </c>
      <c r="AF128" s="77">
        <f>IF(AF120=1,AF114,0)</f>
        <v>0</v>
      </c>
    </row>
    <row r="129" spans="1:38" s="74" customFormat="1" ht="38.25" hidden="1" customHeight="1" x14ac:dyDescent="0.25">
      <c r="A129" s="78" t="s">
        <v>65</v>
      </c>
      <c r="B129" s="74">
        <f>SUM(B124:D128)</f>
        <v>35</v>
      </c>
      <c r="D129" s="77"/>
      <c r="E129" s="74">
        <f>SUM(E124:G128)</f>
        <v>33</v>
      </c>
      <c r="G129" s="77"/>
      <c r="H129" s="74">
        <f>SUM(H124:J128)</f>
        <v>30</v>
      </c>
      <c r="J129" s="77"/>
      <c r="K129" s="77"/>
      <c r="L129" s="74">
        <f>SUM(L124:N128)</f>
        <v>32</v>
      </c>
      <c r="N129" s="77"/>
      <c r="O129" s="74">
        <f>SUM(O124:Q128)</f>
        <v>27</v>
      </c>
      <c r="Q129" s="77"/>
      <c r="R129" s="74">
        <f>SUM(R124:T128)</f>
        <v>30</v>
      </c>
      <c r="T129" s="77"/>
      <c r="U129" s="74">
        <f>SUM(U124:W128)</f>
        <v>0</v>
      </c>
      <c r="W129" s="77"/>
      <c r="X129" s="74">
        <f>SUM(X124:Z128)</f>
        <v>0</v>
      </c>
      <c r="Z129" s="77"/>
      <c r="AA129" s="74">
        <f>SUM(AA124:AC128)</f>
        <v>0</v>
      </c>
      <c r="AC129" s="77"/>
      <c r="AD129" s="74">
        <f>SUM(AD124:AF128)</f>
        <v>0</v>
      </c>
      <c r="AF129" s="77"/>
    </row>
    <row r="130" spans="1:38" s="74" customFormat="1" ht="38.25" hidden="1" customHeight="1" x14ac:dyDescent="0.25">
      <c r="A130" s="74" t="s">
        <v>66</v>
      </c>
      <c r="D130" s="77"/>
      <c r="G130" s="77"/>
      <c r="J130" s="77"/>
      <c r="K130" s="77"/>
      <c r="N130" s="77"/>
      <c r="Q130" s="77"/>
      <c r="T130" s="77"/>
      <c r="W130" s="77"/>
      <c r="Z130" s="77"/>
      <c r="AC130" s="77"/>
      <c r="AF130" s="77"/>
      <c r="AG130" s="78" t="s">
        <v>67</v>
      </c>
      <c r="AH130" s="74" t="s">
        <v>68</v>
      </c>
    </row>
    <row r="131" spans="1:38" s="74" customFormat="1" ht="12.75" hidden="1" customHeight="1" x14ac:dyDescent="0.25">
      <c r="A131" s="74" t="s">
        <v>69</v>
      </c>
      <c r="B131" s="74">
        <f>IF(B109=1,IF(B122=1,1,0),0)</f>
        <v>1</v>
      </c>
      <c r="D131" s="77">
        <f>IF(D109=1,IF(D122=1,1,0),0)</f>
        <v>0</v>
      </c>
      <c r="E131" s="74">
        <f>IF(E109=1,IF(E122=1,1,0),0)</f>
        <v>0</v>
      </c>
      <c r="G131" s="77">
        <f>IF(G109=1,IF(G122=1,1,0),0)</f>
        <v>0</v>
      </c>
      <c r="H131" s="74">
        <f>IF(H109=1,IF(H122=1,1,0),0)</f>
        <v>1</v>
      </c>
      <c r="J131" s="77">
        <f>IF(J109=1,IF(J122=1,1,0),0)</f>
        <v>0</v>
      </c>
      <c r="K131" s="77"/>
      <c r="L131" s="74">
        <f>IF(L109=1,IF(L122=1,1,0),0)</f>
        <v>1</v>
      </c>
      <c r="N131" s="77">
        <f>IF(N109=1,IF(N122=1,1,0),0)</f>
        <v>0</v>
      </c>
      <c r="O131" s="74">
        <f>IF(O109=1,IF(O122=1,1,0),0)</f>
        <v>0</v>
      </c>
      <c r="Q131" s="77">
        <f>IF(Q109=1,IF(Q122=1,1,0),0)</f>
        <v>0</v>
      </c>
      <c r="R131" s="74">
        <f>IF(R109=1,IF(R122=1,1,0),0)</f>
        <v>1</v>
      </c>
      <c r="T131" s="77">
        <f>IF(T109=1,IF(T122=1,1,0),0)</f>
        <v>0</v>
      </c>
      <c r="U131" s="74">
        <f>IF(U109=1,IF(U122=1,1,0),0)</f>
        <v>0</v>
      </c>
      <c r="W131" s="77">
        <f>IF(W109=1,IF(W122=1,1,0),0)</f>
        <v>0</v>
      </c>
      <c r="X131" s="74">
        <f>IF(X109=1,IF(X122=1,1,0),0)</f>
        <v>0</v>
      </c>
      <c r="Z131" s="77">
        <f>IF(Z109=1,IF(Z122=1,1,0),0)</f>
        <v>0</v>
      </c>
      <c r="AA131" s="74">
        <f>IF(AA109=1,IF(AA122=1,1,0),0)</f>
        <v>0</v>
      </c>
      <c r="AC131" s="77">
        <f>IF(AC109=1,IF(AC122=1,1,0),0)</f>
        <v>0</v>
      </c>
      <c r="AD131" s="74">
        <f>IF(AD109=1,IF(AD122=1,1,0),0)</f>
        <v>0</v>
      </c>
      <c r="AF131" s="77">
        <f>IF(AF109=1,IF(AF122=1,1,0),0)</f>
        <v>0</v>
      </c>
      <c r="AG131" s="74">
        <f>SUM(B131:AF131)</f>
        <v>4</v>
      </c>
      <c r="AH131" s="74">
        <f>AG137-AG131</f>
        <v>0</v>
      </c>
    </row>
    <row r="132" spans="1:38" s="74" customFormat="1" ht="12.75" hidden="1" customHeight="1" x14ac:dyDescent="0.25">
      <c r="A132" s="74" t="s">
        <v>70</v>
      </c>
      <c r="B132" s="74">
        <f>IF(B109=2,IF(B122=1,1,0),0)</f>
        <v>0</v>
      </c>
      <c r="D132" s="77">
        <f>IF(D109=2,IF(D122=1,1,0),0)</f>
        <v>0</v>
      </c>
      <c r="E132" s="74">
        <f>IF(E109=2,IF(E122=1,1,0),0)</f>
        <v>0</v>
      </c>
      <c r="G132" s="77">
        <f>IF(G109=2,IF(G122=1,1,0),0)</f>
        <v>0</v>
      </c>
      <c r="H132" s="74">
        <f>IF(H109=2,IF(H122=1,1,0),0)</f>
        <v>0</v>
      </c>
      <c r="J132" s="77">
        <f>IF(J109=2,IF(J122=1,1,0),0)</f>
        <v>0</v>
      </c>
      <c r="K132" s="77"/>
      <c r="L132" s="74">
        <f>IF(L109=2,IF(L122=1,1,0),0)</f>
        <v>0</v>
      </c>
      <c r="N132" s="77">
        <f>IF(N109=2,IF(N122=1,1,0),0)</f>
        <v>0</v>
      </c>
      <c r="O132" s="74">
        <f>IF(O109=2,IF(O122=1,1,0),0)</f>
        <v>0</v>
      </c>
      <c r="Q132" s="77">
        <f>IF(Q109=2,IF(Q122=1,1,0),0)</f>
        <v>0</v>
      </c>
      <c r="R132" s="74">
        <f>IF(R109=2,IF(R122=1,1,0),0)</f>
        <v>0</v>
      </c>
      <c r="T132" s="77">
        <f>IF(T109=2,IF(T122=1,1,0),0)</f>
        <v>0</v>
      </c>
      <c r="U132" s="74">
        <f>IF(U109=2,IF(U122=1,1,0),0)</f>
        <v>0</v>
      </c>
      <c r="W132" s="77">
        <f>IF(W109=2,IF(W122=1,1,0),0)</f>
        <v>0</v>
      </c>
      <c r="X132" s="74">
        <f>IF(X109=2,IF(X122=1,1,0),0)</f>
        <v>0</v>
      </c>
      <c r="Z132" s="77">
        <f>IF(Z109=2,IF(Z122=1,1,0),0)</f>
        <v>0</v>
      </c>
      <c r="AA132" s="74">
        <f>IF(AA109=2,IF(AA122=1,1,0),0)</f>
        <v>0</v>
      </c>
      <c r="AC132" s="77">
        <f>IF(AC109=2,IF(AC122=1,1,0),0)</f>
        <v>0</v>
      </c>
      <c r="AD132" s="74">
        <f>IF(AD109=2,IF(AD122=1,1,0),0)</f>
        <v>0</v>
      </c>
      <c r="AF132" s="77">
        <f>IF(AF109=2,IF(AF122=1,1,0),0)</f>
        <v>0</v>
      </c>
      <c r="AG132" s="74">
        <f>SUM(B132:AF132)</f>
        <v>0</v>
      </c>
      <c r="AH132" s="74">
        <f>AG138-AG132</f>
        <v>4</v>
      </c>
    </row>
    <row r="133" spans="1:38" s="74" customFormat="1" ht="12.75" hidden="1" customHeight="1" x14ac:dyDescent="0.25">
      <c r="A133" s="74" t="s">
        <v>71</v>
      </c>
      <c r="B133" s="74">
        <f>IF(B109=3,IF(B122=1,1,0),0)</f>
        <v>0</v>
      </c>
      <c r="D133" s="77">
        <f>IF(D109=3,IF(D122=1,1,0),0)</f>
        <v>0</v>
      </c>
      <c r="E133" s="74">
        <f>IF(E109=3,IF(E122=1,1,0),0)</f>
        <v>0</v>
      </c>
      <c r="G133" s="77">
        <f>IF(G109=3,IF(G122=1,1,0),0)</f>
        <v>1</v>
      </c>
      <c r="H133" s="74">
        <f>IF(H109=3,IF(H122=1,1,0),0)</f>
        <v>0</v>
      </c>
      <c r="J133" s="77">
        <f>IF(J109=3,IF(J122=1,1,0),0)</f>
        <v>0</v>
      </c>
      <c r="K133" s="77"/>
      <c r="L133" s="74">
        <f>IF(L109=3,IF(L122=1,1,0),0)</f>
        <v>0</v>
      </c>
      <c r="N133" s="77">
        <f>IF(N109=3,IF(N122=1,1,0),0)</f>
        <v>0</v>
      </c>
      <c r="O133" s="74">
        <f>IF(O109=3,IF(O122=1,1,0),0)</f>
        <v>0</v>
      </c>
      <c r="Q133" s="77">
        <f>IF(Q109=3,IF(Q122=1,1,0),0)</f>
        <v>1</v>
      </c>
      <c r="R133" s="74">
        <f>IF(R109=3,IF(R122=1,1,0),0)</f>
        <v>0</v>
      </c>
      <c r="T133" s="77">
        <f>IF(T109=3,IF(T122=1,1,0),0)</f>
        <v>0</v>
      </c>
      <c r="U133" s="74">
        <f>IF(U109=3,IF(U122=1,1,0),0)</f>
        <v>0</v>
      </c>
      <c r="W133" s="77">
        <f>IF(W109=3,IF(W122=1,1,0),0)</f>
        <v>0</v>
      </c>
      <c r="X133" s="74">
        <f>IF(X109=3,IF(X122=1,1,0),0)</f>
        <v>0</v>
      </c>
      <c r="Z133" s="77">
        <f>IF(Z109=3,IF(Z122=1,1,0),0)</f>
        <v>0</v>
      </c>
      <c r="AA133" s="74">
        <f>IF(AA109=3,IF(AA122=1,1,0),0)</f>
        <v>0</v>
      </c>
      <c r="AC133" s="77">
        <f>IF(AC109=3,IF(AC122=1,1,0),0)</f>
        <v>0</v>
      </c>
      <c r="AD133" s="74">
        <f>IF(AD109=3,IF(AD122=1,1,0),0)</f>
        <v>0</v>
      </c>
      <c r="AF133" s="77">
        <f>IF(AF109=3,IF(AF122=1,1,0),0)</f>
        <v>0</v>
      </c>
      <c r="AG133" s="74">
        <f>SUM(B133:AF133)</f>
        <v>2</v>
      </c>
      <c r="AH133" s="74">
        <f>AG139-AG133</f>
        <v>2</v>
      </c>
    </row>
    <row r="134" spans="1:38" s="74" customFormat="1" ht="12.75" hidden="1" customHeight="1" x14ac:dyDescent="0.25">
      <c r="A134" s="74" t="s">
        <v>72</v>
      </c>
      <c r="B134" s="74">
        <f>IF(B109=4,IF(B122=1,1,0),0)</f>
        <v>0</v>
      </c>
      <c r="D134" s="77">
        <f>IF(D109=4,IF(D122=1,1,0),0)</f>
        <v>0</v>
      </c>
      <c r="E134" s="74">
        <f>IF(E109=4,IF(E122=1,1,0),0)</f>
        <v>0</v>
      </c>
      <c r="G134" s="77">
        <f>IF(G109=4,IF(G122=1,1,0),0)</f>
        <v>0</v>
      </c>
      <c r="H134" s="74">
        <f>IF(H109=4,IF(H122=1,1,0),0)</f>
        <v>0</v>
      </c>
      <c r="J134" s="77">
        <f>IF(J109=4,IF(J122=1,1,0),0)</f>
        <v>0</v>
      </c>
      <c r="K134" s="77"/>
      <c r="L134" s="74">
        <f>IF(L109=4,IF(L122=1,1,0),0)</f>
        <v>0</v>
      </c>
      <c r="N134" s="77">
        <f>IF(N109=4,IF(N122=1,1,0),0)</f>
        <v>0</v>
      </c>
      <c r="O134" s="74">
        <f>IF(O109=4,IF(O122=1,1,0),0)</f>
        <v>0</v>
      </c>
      <c r="Q134" s="77">
        <f>IF(Q109=4,IF(Q122=1,1,0),0)</f>
        <v>0</v>
      </c>
      <c r="R134" s="74">
        <f>IF(R109=4,IF(R122=1,1,0),0)</f>
        <v>0</v>
      </c>
      <c r="T134" s="77">
        <f>IF(T109=4,IF(T122=1,1,0),0)</f>
        <v>0</v>
      </c>
      <c r="U134" s="74">
        <f>IF(U109=4,IF(U122=1,1,0),0)</f>
        <v>0</v>
      </c>
      <c r="W134" s="77">
        <f>IF(W109=4,IF(W122=1,1,0),0)</f>
        <v>0</v>
      </c>
      <c r="X134" s="74">
        <f>IF(X109=4,IF(X122=1,1,0),0)</f>
        <v>0</v>
      </c>
      <c r="Z134" s="77">
        <f>IF(Z109=4,IF(Z122=1,1,0),0)</f>
        <v>0</v>
      </c>
      <c r="AA134" s="74">
        <f>IF(AA109=4,IF(AA122=1,1,0),0)</f>
        <v>0</v>
      </c>
      <c r="AC134" s="77">
        <f>IF(AC109=4,IF(AC122=1,1,0),0)</f>
        <v>0</v>
      </c>
      <c r="AD134" s="74">
        <f>IF(AD109=4,IF(AD122=1,1,0),0)</f>
        <v>0</v>
      </c>
      <c r="AF134" s="77">
        <f>IF(AF109=4,IF(AF122=1,1,0),0)</f>
        <v>0</v>
      </c>
      <c r="AG134" s="74">
        <f>SUM(B134:AF134)</f>
        <v>0</v>
      </c>
      <c r="AH134" s="74">
        <f>AG140-AG134</f>
        <v>0</v>
      </c>
    </row>
    <row r="135" spans="1:38" s="74" customFormat="1" ht="12.75" hidden="1" customHeight="1" x14ac:dyDescent="0.25">
      <c r="A135" s="74" t="s">
        <v>73</v>
      </c>
      <c r="B135" s="74">
        <f>IF(B109=5,IF(B122=1,1,0),0)</f>
        <v>0</v>
      </c>
      <c r="D135" s="77">
        <f>IF(D109=5,IF(D122=1,1,0),0)</f>
        <v>0</v>
      </c>
      <c r="E135" s="74">
        <f>IF(E109=5,IF(E122=1,1,0),0)</f>
        <v>0</v>
      </c>
      <c r="G135" s="77">
        <f>IF(G109=5,IF(G122=1,1,0),0)</f>
        <v>0</v>
      </c>
      <c r="H135" s="74">
        <f>IF(H109=5,IF(H122=1,1,0),0)</f>
        <v>0</v>
      </c>
      <c r="J135" s="77">
        <f>IF(J109=5,IF(J122=1,1,0),0)</f>
        <v>0</v>
      </c>
      <c r="K135" s="77"/>
      <c r="L135" s="74">
        <f>IF(L109=5,IF(L122=1,1,0),0)</f>
        <v>0</v>
      </c>
      <c r="N135" s="77">
        <f>IF(N109=5,IF(N122=1,1,0),0)</f>
        <v>0</v>
      </c>
      <c r="O135" s="74">
        <f>IF(O109=5,IF(O122=1,1,0),0)</f>
        <v>0</v>
      </c>
      <c r="Q135" s="77">
        <f>IF(Q109=5,IF(Q122=1,1,0),0)</f>
        <v>0</v>
      </c>
      <c r="R135" s="74">
        <f>IF(R109=5,IF(R122=1,1,0),0)</f>
        <v>0</v>
      </c>
      <c r="T135" s="77">
        <f>IF(T109=5,IF(T122=1,1,0),0)</f>
        <v>0</v>
      </c>
      <c r="U135" s="74">
        <f>IF(U109=5,IF(U122=1,1,0),0)</f>
        <v>0</v>
      </c>
      <c r="W135" s="77">
        <f>IF(W109=5,IF(W122=1,1,0),0)</f>
        <v>0</v>
      </c>
      <c r="X135" s="74">
        <f>IF(X109=5,IF(X122=1,1,0),0)</f>
        <v>0</v>
      </c>
      <c r="Z135" s="77">
        <f>IF(Z109=5,IF(Z122=1,1,0),0)</f>
        <v>0</v>
      </c>
      <c r="AA135" s="74">
        <f>IF(AA109=5,IF(AA122=1,1,0),0)</f>
        <v>0</v>
      </c>
      <c r="AC135" s="77">
        <f>IF(AC109=5,IF(AC122=1,1,0),0)</f>
        <v>0</v>
      </c>
      <c r="AD135" s="74">
        <f>IF(AD109=5,IF(AD122=1,1,0),0)</f>
        <v>0</v>
      </c>
      <c r="AF135" s="77">
        <f>IF(AF109=5,IF(AF122=1,1,0),0)</f>
        <v>0</v>
      </c>
      <c r="AG135" s="74">
        <f>SUM(B135:AF135)</f>
        <v>0</v>
      </c>
      <c r="AH135" s="74">
        <f>AG141-AG135</f>
        <v>0</v>
      </c>
    </row>
    <row r="136" spans="1:38" s="74" customFormat="1" ht="38.25" hidden="1" customHeight="1" x14ac:dyDescent="0.25">
      <c r="A136" s="78"/>
      <c r="D136" s="77"/>
      <c r="G136" s="77"/>
      <c r="J136" s="77"/>
      <c r="K136" s="77"/>
      <c r="N136" s="77"/>
      <c r="Q136" s="77"/>
      <c r="T136" s="77"/>
      <c r="W136" s="77"/>
      <c r="Z136" s="77"/>
      <c r="AC136" s="77"/>
      <c r="AF136" s="77"/>
      <c r="AG136" s="78" t="s">
        <v>74</v>
      </c>
    </row>
    <row r="137" spans="1:38" s="74" customFormat="1" ht="12.75" hidden="1" customHeight="1" x14ac:dyDescent="0.25">
      <c r="A137" s="74" t="s">
        <v>75</v>
      </c>
      <c r="B137" s="74">
        <f>IF(B109=1,IF(C122=1,1,0),0)</f>
        <v>1</v>
      </c>
      <c r="D137" s="77">
        <f>IF(D109=1,IF(C122=1,1,0),0)</f>
        <v>0</v>
      </c>
      <c r="E137" s="74">
        <f>IF(E109=1,IF(F122=1,1,0),0)</f>
        <v>0</v>
      </c>
      <c r="G137" s="77">
        <f>IF(G109=1,IF(F122=1,1,0),0)</f>
        <v>0</v>
      </c>
      <c r="H137" s="74">
        <f>IF(H109=1,IF(I122=1,1,0),0)</f>
        <v>1</v>
      </c>
      <c r="J137" s="77">
        <f>IF(J109=1,IF(I122=1,1,0),0)</f>
        <v>0</v>
      </c>
      <c r="K137" s="77"/>
      <c r="L137" s="74">
        <f>IF(L109=1,IF(M122=1,1,0),0)</f>
        <v>1</v>
      </c>
      <c r="N137" s="77">
        <f>IF(N109=1,IF(M122=1,1,0),0)</f>
        <v>0</v>
      </c>
      <c r="O137" s="74">
        <f>IF(O109=1,IF(P122=1,1,0),0)</f>
        <v>0</v>
      </c>
      <c r="Q137" s="77">
        <f>IF(Q109=1,IF(P122=1,1,0),0)</f>
        <v>0</v>
      </c>
      <c r="R137" s="74">
        <f>IF(R109=1,IF(S122=1,1,0),0)</f>
        <v>1</v>
      </c>
      <c r="T137" s="77">
        <f>IF(T109=1,IF(S122=1,1,0),0)</f>
        <v>0</v>
      </c>
      <c r="U137" s="74">
        <f>IF(U109=1,IF(V122=1,1,0),0)</f>
        <v>0</v>
      </c>
      <c r="W137" s="77">
        <f>IF(W109=1,IF(V122=1,1,0),0)</f>
        <v>0</v>
      </c>
      <c r="X137" s="74">
        <f>IF(X109=1,IF(Y122=1,1,0),0)</f>
        <v>0</v>
      </c>
      <c r="Z137" s="77">
        <f>IF(Z109=1,IF(Y122=1,1,0),0)</f>
        <v>0</v>
      </c>
      <c r="AA137" s="74">
        <f>IF(AA109=1,IF(AB122=1,1,0),0)</f>
        <v>0</v>
      </c>
      <c r="AC137" s="77">
        <f>IF(AC109=1,IF(AB122=1,1,0),0)</f>
        <v>0</v>
      </c>
      <c r="AD137" s="74">
        <f>IF(AD109=1,IF(AE122=1,1,0),0)</f>
        <v>0</v>
      </c>
      <c r="AF137" s="77">
        <f>IF(AF109=1,IF(AE122=1,1,0),0)</f>
        <v>0</v>
      </c>
      <c r="AG137" s="74">
        <f>SUM(B137:AF137)</f>
        <v>4</v>
      </c>
    </row>
    <row r="138" spans="1:38" s="74" customFormat="1" ht="12.75" hidden="1" customHeight="1" x14ac:dyDescent="0.25">
      <c r="A138" s="74" t="s">
        <v>76</v>
      </c>
      <c r="B138" s="74">
        <f>IF(B109=2,IF(C122=1,1,0),0)</f>
        <v>0</v>
      </c>
      <c r="D138" s="77">
        <f>IF(D109=2,IF(C122=1,1,0),0)</f>
        <v>0</v>
      </c>
      <c r="E138" s="74">
        <f>IF(E109=2,IF(F122=1,1,0),0)</f>
        <v>1</v>
      </c>
      <c r="G138" s="77">
        <f>IF(G109=2,IF(F122=1,1,0),0)</f>
        <v>0</v>
      </c>
      <c r="H138" s="74">
        <f>IF(H109=2,IF(I122=1,1,0),0)</f>
        <v>0</v>
      </c>
      <c r="J138" s="77">
        <f>IF(J109=2,IF(I122=1,1,0),0)</f>
        <v>1</v>
      </c>
      <c r="K138" s="77"/>
      <c r="L138" s="74">
        <f>IF(L109=2,IF(M122=1,1,0),0)</f>
        <v>0</v>
      </c>
      <c r="N138" s="77">
        <f>IF(N109=2,IF(M122=1,1,0),0)</f>
        <v>0</v>
      </c>
      <c r="O138" s="74">
        <f>IF(O109=2,IF(P122=1,1,0),0)</f>
        <v>1</v>
      </c>
      <c r="Q138" s="77">
        <f>IF(Q109=2,IF(P122=1,1,0),0)</f>
        <v>0</v>
      </c>
      <c r="R138" s="74">
        <f>IF(R109=2,IF(S122=1,1,0),0)</f>
        <v>0</v>
      </c>
      <c r="T138" s="77">
        <f>IF(T109=2,IF(S122=1,1,0),0)</f>
        <v>1</v>
      </c>
      <c r="U138" s="74">
        <f>IF(U109=2,IF(V122=1,1,0),0)</f>
        <v>0</v>
      </c>
      <c r="W138" s="77">
        <f>IF(W109=2,IF(V122=1,1,0),0)</f>
        <v>0</v>
      </c>
      <c r="X138" s="74">
        <f>IF(X109=2,IF(Y122=1,1,0),0)</f>
        <v>0</v>
      </c>
      <c r="Z138" s="77">
        <f>IF(Z109=2,IF(Y122=1,1,0),0)</f>
        <v>0</v>
      </c>
      <c r="AA138" s="74">
        <f>IF(AA109=2,IF(AB122=1,1,0),0)</f>
        <v>0</v>
      </c>
      <c r="AC138" s="77">
        <f>IF(AC109=2,IF(AB122=1,1,0),0)</f>
        <v>0</v>
      </c>
      <c r="AD138" s="74">
        <f>IF(AD109=2,IF(AE122=1,1,0),0)</f>
        <v>0</v>
      </c>
      <c r="AF138" s="77">
        <f>IF(AF109=2,IF(AE122=1,1,0),0)</f>
        <v>0</v>
      </c>
      <c r="AG138" s="74">
        <f>SUM(B138:AF138)</f>
        <v>4</v>
      </c>
    </row>
    <row r="139" spans="1:38" s="74" customFormat="1" ht="12.75" hidden="1" customHeight="1" x14ac:dyDescent="0.25">
      <c r="A139" s="74" t="s">
        <v>77</v>
      </c>
      <c r="B139" s="74">
        <f>IF(B109=3,IF(C122=1,1,0),0)</f>
        <v>0</v>
      </c>
      <c r="D139" s="77">
        <f>IF(D109=3,IF(C122=1,1,0),0)</f>
        <v>1</v>
      </c>
      <c r="E139" s="74">
        <f>IF(E109=3,IF(F122=1,1,0),0)</f>
        <v>0</v>
      </c>
      <c r="G139" s="77">
        <f>IF(G109=3,IF(F122=1,1,0),0)</f>
        <v>1</v>
      </c>
      <c r="H139" s="74">
        <f>IF(H109=3,IF(I122=1,1,0),0)</f>
        <v>0</v>
      </c>
      <c r="J139" s="77">
        <f>IF(J109=3,IF(I122=1,1,0),0)</f>
        <v>0</v>
      </c>
      <c r="K139" s="77"/>
      <c r="L139" s="74">
        <f>IF(L109=3,IF(M122=1,1,0),0)</f>
        <v>0</v>
      </c>
      <c r="N139" s="77">
        <f>IF(N109=3,IF(M122=1,1,0),0)</f>
        <v>1</v>
      </c>
      <c r="O139" s="74">
        <f>IF(O109=3,IF(P122=1,1,0),0)</f>
        <v>0</v>
      </c>
      <c r="Q139" s="77">
        <f>IF(Q109=3,IF(P122=1,1,0),0)</f>
        <v>1</v>
      </c>
      <c r="R139" s="74">
        <f>IF(R109=3,IF(S122=1,1,0),0)</f>
        <v>0</v>
      </c>
      <c r="T139" s="77">
        <f>IF(T109=3,IF(S122=1,1,0),0)</f>
        <v>0</v>
      </c>
      <c r="U139" s="74">
        <f>IF(U109=3,IF(V122=1,1,0),0)</f>
        <v>0</v>
      </c>
      <c r="W139" s="77">
        <f>IF(W109=3,IF(V122=1,1,0),0)</f>
        <v>0</v>
      </c>
      <c r="X139" s="74">
        <f>IF(X109=3,IF(Y122=1,1,0),0)</f>
        <v>0</v>
      </c>
      <c r="Z139" s="77">
        <f>IF(Z109=3,IF(Y122=1,1,0),0)</f>
        <v>0</v>
      </c>
      <c r="AA139" s="74">
        <f>IF(AA109=3,IF(AB122=1,1,0),0)</f>
        <v>0</v>
      </c>
      <c r="AC139" s="77">
        <f>IF(AC109=3,IF(AB122=1,1,0),0)</f>
        <v>0</v>
      </c>
      <c r="AD139" s="74">
        <f>IF(AD109=3,IF(AE122=1,1,0),0)</f>
        <v>0</v>
      </c>
      <c r="AF139" s="77">
        <f>IF(AF109=3,IF(AE122=1,1,0),0)</f>
        <v>0</v>
      </c>
      <c r="AG139" s="74">
        <f>SUM(B139:AF139)</f>
        <v>4</v>
      </c>
    </row>
    <row r="140" spans="1:38" s="74" customFormat="1" ht="12.75" hidden="1" customHeight="1" x14ac:dyDescent="0.25">
      <c r="A140" s="74" t="s">
        <v>78</v>
      </c>
      <c r="B140" s="74">
        <f>IF(B109=4,IF(C122=1,1,0),0)</f>
        <v>0</v>
      </c>
      <c r="D140" s="77">
        <f>IF(D109=4,IF(C122=1,1,0),0)</f>
        <v>0</v>
      </c>
      <c r="E140" s="74">
        <f>IF(E109=4,IF(F122=1,1,0),0)</f>
        <v>0</v>
      </c>
      <c r="G140" s="77">
        <f>IF(G109=4,IF(F122=1,1,0),0)</f>
        <v>0</v>
      </c>
      <c r="H140" s="74">
        <f>IF(H109=4,IF(I122=1,1,0),0)</f>
        <v>0</v>
      </c>
      <c r="J140" s="77">
        <f>IF(J109=4,IF(I122=1,1,0),0)</f>
        <v>0</v>
      </c>
      <c r="K140" s="77"/>
      <c r="L140" s="74">
        <f>IF(L109=4,IF(M122=1,1,0),0)</f>
        <v>0</v>
      </c>
      <c r="N140" s="77">
        <f>IF(N109=4,IF(M122=1,1,0),0)</f>
        <v>0</v>
      </c>
      <c r="O140" s="74">
        <f>IF(O109=4,IF(P122=1,1,0),0)</f>
        <v>0</v>
      </c>
      <c r="Q140" s="77">
        <f>IF(Q109=4,IF(P122=1,1,0),0)</f>
        <v>0</v>
      </c>
      <c r="R140" s="74">
        <f>IF(R109=4,IF(S122=1,1,0),0)</f>
        <v>0</v>
      </c>
      <c r="T140" s="77">
        <f>IF(T109=4,IF(S122=1,1,0),0)</f>
        <v>0</v>
      </c>
      <c r="U140" s="74">
        <f>IF(U109=4,IF(V122=1,1,0),0)</f>
        <v>0</v>
      </c>
      <c r="W140" s="77">
        <f>IF(W109=4,IF(V122=1,1,0),0)</f>
        <v>0</v>
      </c>
      <c r="X140" s="74">
        <f>IF(X109=4,IF(Y122=1,1,0),0)</f>
        <v>0</v>
      </c>
      <c r="Z140" s="77">
        <f>IF(Z109=4,IF(Y122=1,1,0),0)</f>
        <v>0</v>
      </c>
      <c r="AA140" s="74">
        <f>IF(AA109=4,IF(AB122=1,1,0),0)</f>
        <v>0</v>
      </c>
      <c r="AC140" s="77">
        <f>IF(AC109=4,IF(AB122=1,1,0),0)</f>
        <v>0</v>
      </c>
      <c r="AD140" s="74">
        <f>IF(AD109=4,IF(AE122=1,1,0),0)</f>
        <v>0</v>
      </c>
      <c r="AF140" s="77">
        <f>IF(AF109=4,IF(AE122=1,1,0),0)</f>
        <v>0</v>
      </c>
      <c r="AG140" s="74">
        <f>SUM(B140:AF140)</f>
        <v>0</v>
      </c>
    </row>
    <row r="141" spans="1:38" s="74" customFormat="1" ht="12.75" hidden="1" customHeight="1" x14ac:dyDescent="0.25">
      <c r="A141" s="74" t="s">
        <v>79</v>
      </c>
      <c r="B141" s="74">
        <f>IF(B109=5,IF(C122=1,1,0),0)</f>
        <v>0</v>
      </c>
      <c r="D141" s="77">
        <f>IF(D109=5,IF(C122=1,1,0),0)</f>
        <v>0</v>
      </c>
      <c r="E141" s="74">
        <f>IF(E109=5,IF(F122=1,1,0),0)</f>
        <v>0</v>
      </c>
      <c r="G141" s="77">
        <f>IF(G109=5,IF(F122=1,1,0),0)</f>
        <v>0</v>
      </c>
      <c r="H141" s="74">
        <f>IF(H109=5,IF(I122=1,1,0),0)</f>
        <v>0</v>
      </c>
      <c r="J141" s="77">
        <f>IF(J109=5,IF(I122=1,1,0),0)</f>
        <v>0</v>
      </c>
      <c r="K141" s="77"/>
      <c r="L141" s="74">
        <f>IF(L109=5,IF(M122=1,1,0),0)</f>
        <v>0</v>
      </c>
      <c r="N141" s="77">
        <f>IF(N109=5,IF(M122=1,1,0),0)</f>
        <v>0</v>
      </c>
      <c r="O141" s="74">
        <f>IF(O109=5,IF(P122=1,1,0),0)</f>
        <v>0</v>
      </c>
      <c r="Q141" s="77">
        <f>IF(Q109=5,IF(P122=1,1,0),0)</f>
        <v>0</v>
      </c>
      <c r="R141" s="74">
        <f>IF(R109=5,IF(S122=1,1,0),0)</f>
        <v>0</v>
      </c>
      <c r="T141" s="77">
        <f>IF(T109=5,IF(S122=1,1,0),0)</f>
        <v>0</v>
      </c>
      <c r="U141" s="74">
        <f>IF(U109=5,IF(V122=1,1,0),0)</f>
        <v>0</v>
      </c>
      <c r="W141" s="77">
        <f>IF(W109=5,IF(V122=1,1,0),0)</f>
        <v>0</v>
      </c>
      <c r="X141" s="74">
        <f>IF(X109=5,IF(Y122=1,1,0),0)</f>
        <v>0</v>
      </c>
      <c r="Z141" s="77">
        <f>IF(Z109=5,IF(Y122=1,1,0),0)</f>
        <v>0</v>
      </c>
      <c r="AA141" s="74">
        <f>IF(AA109=5,IF(AB122=1,1,0),0)</f>
        <v>0</v>
      </c>
      <c r="AC141" s="77">
        <f>IF(AC109=5,IF(AB122=1,1,0),0)</f>
        <v>0</v>
      </c>
      <c r="AD141" s="74">
        <f>IF(AD109=5,IF(AE122=1,1,0),0)</f>
        <v>0</v>
      </c>
      <c r="AF141" s="77">
        <f>IF(AF109=5,IF(AE122=1,1,0),0)</f>
        <v>0</v>
      </c>
      <c r="AG141" s="74">
        <f>SUM(B141:AF141)</f>
        <v>0</v>
      </c>
    </row>
    <row r="142" spans="1:38" s="74" customFormat="1" ht="38.25" hidden="1" customHeight="1" x14ac:dyDescent="0.25">
      <c r="A142" s="78"/>
      <c r="D142" s="77"/>
      <c r="G142" s="77"/>
      <c r="J142" s="77"/>
      <c r="K142" s="77"/>
      <c r="N142" s="77"/>
      <c r="Q142" s="77"/>
      <c r="T142" s="77"/>
      <c r="W142" s="77"/>
      <c r="Z142" s="77"/>
      <c r="AC142" s="77"/>
      <c r="AF142" s="77"/>
      <c r="AG142" s="78" t="s">
        <v>80</v>
      </c>
      <c r="AH142" s="307"/>
      <c r="AI142" s="307"/>
      <c r="AJ142" s="307"/>
      <c r="AK142" s="307"/>
      <c r="AL142" s="307"/>
    </row>
    <row r="143" spans="1:38" s="74" customFormat="1" ht="12.75" hidden="1" customHeight="1" x14ac:dyDescent="0.25">
      <c r="A143" s="74" t="s">
        <v>75</v>
      </c>
      <c r="B143" s="74">
        <f>IF(B109=1,B129,0)</f>
        <v>35</v>
      </c>
      <c r="D143" s="77">
        <f>IF(D109=1,B129,0)</f>
        <v>0</v>
      </c>
      <c r="E143" s="74">
        <f>IF(E109=1,E129,0)</f>
        <v>0</v>
      </c>
      <c r="G143" s="77">
        <f>IF(G109=1,E129,0)</f>
        <v>0</v>
      </c>
      <c r="H143" s="74">
        <f>IF(H109=1,H129,0)</f>
        <v>30</v>
      </c>
      <c r="J143" s="77">
        <f>IF(J109=1,H129,0)</f>
        <v>0</v>
      </c>
      <c r="K143" s="77"/>
      <c r="L143" s="74">
        <f>IF(L109=1,L129,0)</f>
        <v>32</v>
      </c>
      <c r="N143" s="77">
        <f>IF(N109=1,L129,0)</f>
        <v>0</v>
      </c>
      <c r="O143" s="74">
        <f>IF(O109=1,O129,0)</f>
        <v>0</v>
      </c>
      <c r="Q143" s="77">
        <f>IF(Q109=1,O129,0)</f>
        <v>0</v>
      </c>
      <c r="R143" s="74">
        <f>IF(R109=1,R129,0)</f>
        <v>30</v>
      </c>
      <c r="T143" s="77">
        <f>IF(T109=1,R129,0)</f>
        <v>0</v>
      </c>
      <c r="U143" s="74">
        <f>IF(U109=1,U129,0)</f>
        <v>0</v>
      </c>
      <c r="W143" s="77">
        <f>IF(W109=1,U129,0)</f>
        <v>0</v>
      </c>
      <c r="X143" s="74">
        <f>IF(X109=1,X129,0)</f>
        <v>0</v>
      </c>
      <c r="Z143" s="77">
        <f>IF(Z109=1,X129,0)</f>
        <v>0</v>
      </c>
      <c r="AA143" s="74">
        <f>IF(AA109=1,AA129,0)</f>
        <v>0</v>
      </c>
      <c r="AC143" s="77">
        <f>IF(AC109=1,AA129,0)</f>
        <v>0</v>
      </c>
      <c r="AD143" s="74">
        <f>IF(AD109=1,AD129,0)</f>
        <v>0</v>
      </c>
      <c r="AF143" s="77">
        <f>IF(AF109=1,AD129,0)</f>
        <v>0</v>
      </c>
      <c r="AG143" s="74">
        <f>SUM(B143:AF143)</f>
        <v>127</v>
      </c>
    </row>
    <row r="144" spans="1:38" s="74" customFormat="1" ht="12.75" hidden="1" customHeight="1" x14ac:dyDescent="0.25">
      <c r="A144" s="74" t="s">
        <v>76</v>
      </c>
      <c r="B144" s="74">
        <f>IF(B109=2,B129,0)</f>
        <v>0</v>
      </c>
      <c r="D144" s="77">
        <f>IF(D109=2,B129,0)</f>
        <v>0</v>
      </c>
      <c r="E144" s="74">
        <f>IF(E109=2,E129,0)</f>
        <v>33</v>
      </c>
      <c r="G144" s="77">
        <f>IF(G109=2,E129,0)</f>
        <v>0</v>
      </c>
      <c r="H144" s="74">
        <f>IF(H109=2,H129,0)</f>
        <v>0</v>
      </c>
      <c r="J144" s="77">
        <f>IF(J109=2,H129,0)</f>
        <v>30</v>
      </c>
      <c r="K144" s="77"/>
      <c r="L144" s="74">
        <f>IF(L109=2,L129,0)</f>
        <v>0</v>
      </c>
      <c r="N144" s="77">
        <f>IF(N109=2,L129,0)</f>
        <v>0</v>
      </c>
      <c r="O144" s="74">
        <f>IF(O109=2,O129,0)</f>
        <v>27</v>
      </c>
      <c r="Q144" s="77">
        <f>IF(Q109=2,O129,0)</f>
        <v>0</v>
      </c>
      <c r="R144" s="74">
        <f>IF(R109=2,R129,0)</f>
        <v>0</v>
      </c>
      <c r="T144" s="77">
        <f>IF(T109=2,R129,0)</f>
        <v>30</v>
      </c>
      <c r="U144" s="74">
        <f>IF(U109=2,U129,0)</f>
        <v>0</v>
      </c>
      <c r="W144" s="77">
        <f>IF(W109=2,U129,0)</f>
        <v>0</v>
      </c>
      <c r="X144" s="74">
        <f>IF(X109=2,X129,0)</f>
        <v>0</v>
      </c>
      <c r="Z144" s="77">
        <f>IF(Z109=2,X129,0)</f>
        <v>0</v>
      </c>
      <c r="AA144" s="74">
        <f>IF(AA109=2,AA129,0)</f>
        <v>0</v>
      </c>
      <c r="AC144" s="77">
        <f>IF(AC109=2,AA129,0)</f>
        <v>0</v>
      </c>
      <c r="AD144" s="74">
        <f>IF(AD109=2,AD129,0)</f>
        <v>0</v>
      </c>
      <c r="AF144" s="77">
        <f>IF(AF109=2,AD129,0)</f>
        <v>0</v>
      </c>
      <c r="AG144" s="74">
        <f>SUM(B144:AF144)</f>
        <v>120</v>
      </c>
    </row>
    <row r="145" spans="1:34" s="74" customFormat="1" ht="12.75" hidden="1" customHeight="1" x14ac:dyDescent="0.25">
      <c r="A145" s="74" t="s">
        <v>77</v>
      </c>
      <c r="B145" s="74">
        <f>IF(B109=3,B129,0)</f>
        <v>0</v>
      </c>
      <c r="D145" s="77">
        <f>IF(D109=3,B129,0)</f>
        <v>35</v>
      </c>
      <c r="E145" s="74">
        <f>IF(E109=3,E129,0)</f>
        <v>0</v>
      </c>
      <c r="G145" s="77">
        <f>IF(G109=3,E129,0)</f>
        <v>33</v>
      </c>
      <c r="H145" s="74">
        <f>IF(H109=3,H129,0)</f>
        <v>0</v>
      </c>
      <c r="J145" s="77">
        <f>IF(J109=3,H129,0)</f>
        <v>0</v>
      </c>
      <c r="K145" s="77"/>
      <c r="L145" s="74">
        <f>IF(L109=3,L129,0)</f>
        <v>0</v>
      </c>
      <c r="N145" s="77">
        <f>IF(N109=3,L129,0)</f>
        <v>32</v>
      </c>
      <c r="O145" s="74">
        <f>IF(O109=3,O129,0)</f>
        <v>0</v>
      </c>
      <c r="Q145" s="77">
        <f>IF(Q109=3,O129,0)</f>
        <v>27</v>
      </c>
      <c r="R145" s="74">
        <f>IF(R109=3,R129,0)</f>
        <v>0</v>
      </c>
      <c r="T145" s="77">
        <f>IF(T109=3,R129,0)</f>
        <v>0</v>
      </c>
      <c r="U145" s="74">
        <f>IF(U109=3,U129,0)</f>
        <v>0</v>
      </c>
      <c r="W145" s="77">
        <f>IF(W109=3,U129,0)</f>
        <v>0</v>
      </c>
      <c r="X145" s="74">
        <f>IF(X109=3,X129,0)</f>
        <v>0</v>
      </c>
      <c r="Z145" s="77">
        <f>IF(Z109=3,X129,0)</f>
        <v>0</v>
      </c>
      <c r="AA145" s="74">
        <f>IF(AA109=3,AA129,0)</f>
        <v>0</v>
      </c>
      <c r="AC145" s="77">
        <f>IF(AC109=3,AA129,0)</f>
        <v>0</v>
      </c>
      <c r="AD145" s="74">
        <f>IF(AD109=3,AD129,0)</f>
        <v>0</v>
      </c>
      <c r="AF145" s="77">
        <f>IF(AF109=3,AD129,0)</f>
        <v>0</v>
      </c>
      <c r="AG145" s="74">
        <f>SUM(B145:AF145)</f>
        <v>127</v>
      </c>
    </row>
    <row r="146" spans="1:34" s="74" customFormat="1" ht="12.75" hidden="1" customHeight="1" x14ac:dyDescent="0.25">
      <c r="A146" s="74" t="s">
        <v>78</v>
      </c>
      <c r="B146" s="74">
        <f>IF(B109=4,B129,0)</f>
        <v>0</v>
      </c>
      <c r="D146" s="77">
        <f>IF(D109=4,B129,0)</f>
        <v>0</v>
      </c>
      <c r="E146" s="74">
        <f>IF(E109=4,E129,0)</f>
        <v>0</v>
      </c>
      <c r="G146" s="77">
        <f>IF(G109=4,E129,0)</f>
        <v>0</v>
      </c>
      <c r="H146" s="74">
        <f>IF(H109=4,H129,0)</f>
        <v>0</v>
      </c>
      <c r="J146" s="77">
        <f>IF(J109=4,H129,0)</f>
        <v>0</v>
      </c>
      <c r="K146" s="77"/>
      <c r="L146" s="74">
        <f>IF(L109=4,L129,0)</f>
        <v>0</v>
      </c>
      <c r="N146" s="77">
        <f>IF(N109=4,L129,0)</f>
        <v>0</v>
      </c>
      <c r="O146" s="74">
        <f>IF(O109=4,O129,0)</f>
        <v>0</v>
      </c>
      <c r="Q146" s="77">
        <f>IF(Q109=4,O129,0)</f>
        <v>0</v>
      </c>
      <c r="R146" s="74">
        <f>IF(R109=4,R129,0)</f>
        <v>0</v>
      </c>
      <c r="T146" s="77">
        <f>IF(T109=4,R129,0)</f>
        <v>0</v>
      </c>
      <c r="U146" s="74">
        <f>IF(U109=4,U129,0)</f>
        <v>0</v>
      </c>
      <c r="W146" s="77">
        <f>IF(W109=4,U129,0)</f>
        <v>0</v>
      </c>
      <c r="X146" s="74">
        <f>IF(X109=4,X129,0)</f>
        <v>0</v>
      </c>
      <c r="Z146" s="77">
        <f>IF(Z109=4,X129,0)</f>
        <v>0</v>
      </c>
      <c r="AA146" s="74">
        <f>IF(AA109=4,AA129,0)</f>
        <v>0</v>
      </c>
      <c r="AC146" s="77">
        <f>IF(AC109=4,AA129,0)</f>
        <v>0</v>
      </c>
      <c r="AD146" s="74">
        <f>IF(AD109=4,AD129,0)</f>
        <v>0</v>
      </c>
      <c r="AF146" s="77">
        <f>IF(AF109=4,AD129,0)</f>
        <v>0</v>
      </c>
      <c r="AG146" s="74">
        <f>SUM(B146:AF146)</f>
        <v>0</v>
      </c>
    </row>
    <row r="147" spans="1:34" s="74" customFormat="1" ht="12.75" hidden="1" customHeight="1" x14ac:dyDescent="0.25">
      <c r="A147" s="74" t="s">
        <v>79</v>
      </c>
      <c r="B147" s="74">
        <f>IF(B109=5,B129,0)</f>
        <v>0</v>
      </c>
      <c r="D147" s="77">
        <f>IF(D109=5,B129,0)</f>
        <v>0</v>
      </c>
      <c r="E147" s="74">
        <f>IF(E109=5,E129,0)</f>
        <v>0</v>
      </c>
      <c r="G147" s="77">
        <f>IF(G109=5,E129,0)</f>
        <v>0</v>
      </c>
      <c r="H147" s="74">
        <f>IF(H109=5,H129,0)</f>
        <v>0</v>
      </c>
      <c r="J147" s="77">
        <f>IF(J109=5,H129,0)</f>
        <v>0</v>
      </c>
      <c r="K147" s="77"/>
      <c r="L147" s="74">
        <f>IF(L109=5,L129,0)</f>
        <v>0</v>
      </c>
      <c r="N147" s="77">
        <f>IF(N109=5,L129,0)</f>
        <v>0</v>
      </c>
      <c r="O147" s="74">
        <f>IF(O109=5,O129,0)</f>
        <v>0</v>
      </c>
      <c r="Q147" s="77">
        <f>IF(Q109=5,O129,0)</f>
        <v>0</v>
      </c>
      <c r="R147" s="74">
        <f>IF(R109=5,R129,0)</f>
        <v>0</v>
      </c>
      <c r="T147" s="77">
        <f>IF(T109=5,R129,0)</f>
        <v>0</v>
      </c>
      <c r="U147" s="74">
        <f>IF(U109=5,U129,0)</f>
        <v>0</v>
      </c>
      <c r="W147" s="77">
        <f>IF(W109=5,U129,0)</f>
        <v>0</v>
      </c>
      <c r="X147" s="74">
        <f>IF(X109=5,X129,0)</f>
        <v>0</v>
      </c>
      <c r="Z147" s="77">
        <f>IF(Z109=5,X129,0)</f>
        <v>0</v>
      </c>
      <c r="AA147" s="74">
        <f>IF(AA109=5,AA129,0)</f>
        <v>0</v>
      </c>
      <c r="AC147" s="77">
        <f>IF(AC109=5,AA129,0)</f>
        <v>0</v>
      </c>
      <c r="AD147" s="74">
        <f>IF(AD109=5,AD129,0)</f>
        <v>0</v>
      </c>
      <c r="AF147" s="77">
        <f>IF(AF109=5,AD129,0)</f>
        <v>0</v>
      </c>
      <c r="AG147" s="74">
        <f>SUM(B147:AF147)</f>
        <v>0</v>
      </c>
    </row>
    <row r="148" spans="1:34" s="74" customFormat="1" ht="38.25" hidden="1" customHeight="1" x14ac:dyDescent="0.25">
      <c r="A148" s="74" t="s">
        <v>81</v>
      </c>
      <c r="D148" s="77"/>
      <c r="G148" s="77"/>
      <c r="J148" s="77"/>
      <c r="K148" s="77"/>
      <c r="N148" s="77"/>
      <c r="Q148" s="77"/>
      <c r="T148" s="77"/>
      <c r="W148" s="77"/>
      <c r="Z148" s="77"/>
      <c r="AC148" s="77"/>
      <c r="AF148" s="77"/>
      <c r="AG148" s="78" t="s">
        <v>82</v>
      </c>
      <c r="AH148" s="74" t="s">
        <v>83</v>
      </c>
    </row>
    <row r="149" spans="1:34" s="74" customFormat="1" ht="12.75" hidden="1" customHeight="1" x14ac:dyDescent="0.25">
      <c r="A149" s="74" t="s">
        <v>69</v>
      </c>
      <c r="B149" s="74">
        <f>IF(B109=1,SUMIF(B116:B120,"&gt;0"),0)</f>
        <v>1</v>
      </c>
      <c r="D149" s="77">
        <f>IF(D109=1,SUMIF(D116:D120,"&gt;0"),0)</f>
        <v>0</v>
      </c>
      <c r="E149" s="74">
        <f>IF(E109=1,SUMIF(E116:E120,"&gt;0"),0)</f>
        <v>0</v>
      </c>
      <c r="G149" s="77">
        <f>IF(G109=1,SUMIF(G116:G120,"&gt;0"),0)</f>
        <v>0</v>
      </c>
      <c r="H149" s="74">
        <f>IF(H109=1,SUMIF(H116:H120,"&gt;0"),0)</f>
        <v>1</v>
      </c>
      <c r="J149" s="77">
        <f>IF(J109=1,SUMIF(J116:J120,"&gt;0"),0)</f>
        <v>0</v>
      </c>
      <c r="K149" s="77"/>
      <c r="L149" s="74">
        <f>IF(L109=1,SUMIF(L116:L120,"&gt;0"),0)</f>
        <v>1</v>
      </c>
      <c r="N149" s="77">
        <f>IF(N109=1,SUMIF(N116:N120,"&gt;0"),0)</f>
        <v>0</v>
      </c>
      <c r="O149" s="74">
        <f>IF(O109=1,SUMIF(O116:O120,"&gt;0"),0)</f>
        <v>0</v>
      </c>
      <c r="Q149" s="77">
        <f>IF(Q109=1,SUMIF(Q116:Q120,"&gt;0"),0)</f>
        <v>0</v>
      </c>
      <c r="R149" s="74">
        <f>IF(R109=1,SUMIF(R116:R120,"&gt;0"),0)</f>
        <v>1</v>
      </c>
      <c r="T149" s="77">
        <f>IF(T109=1,SUMIF(T116:T120,"&gt;0"),0)</f>
        <v>0</v>
      </c>
      <c r="U149" s="74">
        <f>IF(U109=1,SUMIF(U116:U120,"&gt;0"),0)</f>
        <v>0</v>
      </c>
      <c r="W149" s="77">
        <f>IF(W109=1,SUMIF(W116:W120,"&gt;0"),0)</f>
        <v>0</v>
      </c>
      <c r="X149" s="74">
        <f>IF(X109=1,SUMIF(X116:X120,"&gt;0"),0)</f>
        <v>0</v>
      </c>
      <c r="Z149" s="77">
        <f>IF(Z109=1,SUMIF(Z116:Z120,"&gt;0"),0)</f>
        <v>0</v>
      </c>
      <c r="AA149" s="74">
        <f>IF(AA109=1,SUMIF(AA116:AA120,"&gt;0"),0)</f>
        <v>0</v>
      </c>
      <c r="AC149" s="77">
        <f>IF(AC109=1,SUMIF(AC116:AC120,"&gt;0"),0)</f>
        <v>0</v>
      </c>
      <c r="AD149" s="74">
        <f>IF(AD109=1,SUMIF(AD116:AD120,"&gt;0"),0)</f>
        <v>0</v>
      </c>
      <c r="AF149" s="77">
        <f>IF(AF109=1,SUMIF(AF116:AF120,"&gt;0"),0)</f>
        <v>0</v>
      </c>
      <c r="AG149" s="74">
        <f>SUM(B149:AF149)</f>
        <v>4</v>
      </c>
      <c r="AH149" s="74">
        <f>AG157-AG149</f>
        <v>0</v>
      </c>
    </row>
    <row r="150" spans="1:34" s="74" customFormat="1" ht="12.75" hidden="1" customHeight="1" x14ac:dyDescent="0.25">
      <c r="A150" s="74" t="s">
        <v>70</v>
      </c>
      <c r="B150" s="74">
        <f>IF(B109=2,SUMIF(B116:B120,"&gt;0"),0)</f>
        <v>0</v>
      </c>
      <c r="D150" s="77">
        <f>IF(D109=2,SUMIF(D116:D120,"&gt;0"),0)</f>
        <v>0</v>
      </c>
      <c r="E150" s="74">
        <f>IF(E109=2,SUMIF(E116:E120,"&gt;0"),0)</f>
        <v>0</v>
      </c>
      <c r="G150" s="77">
        <f>IF(G109=2,SUMIF(G116:G120,"&gt;0"),0)</f>
        <v>0</v>
      </c>
      <c r="H150" s="74">
        <f>IF(H109=2,SUMIF(H116:H120,"&gt;0"),0)</f>
        <v>0</v>
      </c>
      <c r="J150" s="77">
        <f>IF(J109=2,SUMIF(J116:J120,"&gt;0"),0)</f>
        <v>0</v>
      </c>
      <c r="K150" s="77"/>
      <c r="L150" s="74">
        <f>IF(L109=2,SUMIF(L116:L120,"&gt;0"),0)</f>
        <v>0</v>
      </c>
      <c r="N150" s="77">
        <f>IF(N109=2,SUMIF(N116:N120,"&gt;0"),0)</f>
        <v>0</v>
      </c>
      <c r="O150" s="74">
        <f>IF(O109=2,SUMIF(O116:O120,"&gt;0"),0)</f>
        <v>0</v>
      </c>
      <c r="Q150" s="77">
        <f>IF(Q109=2,SUMIF(Q116:Q120,"&gt;0"),0)</f>
        <v>0</v>
      </c>
      <c r="R150" s="74">
        <f>IF(R109=2,SUMIF(R116:R120,"&gt;0"),0)</f>
        <v>0</v>
      </c>
      <c r="T150" s="77">
        <f>IF(T109=2,SUMIF(T116:T120,"&gt;0"),0)</f>
        <v>0</v>
      </c>
      <c r="U150" s="74">
        <f>IF(U109=2,SUMIF(U116:U120,"&gt;0"),0)</f>
        <v>0</v>
      </c>
      <c r="W150" s="77">
        <f>IF(W109=2,SUMIF(W116:W120,"&gt;0"),0)</f>
        <v>0</v>
      </c>
      <c r="X150" s="74">
        <f>IF(X109=2,SUMIF(X116:X120,"&gt;0"),0)</f>
        <v>0</v>
      </c>
      <c r="Z150" s="77">
        <f>IF(Z109=2,SUMIF(Z116:Z120,"&gt;0"),0)</f>
        <v>0</v>
      </c>
      <c r="AA150" s="74">
        <f>IF(AA109=2,SUMIF(AA116:AA120,"&gt;0"),0)</f>
        <v>0</v>
      </c>
      <c r="AC150" s="77">
        <f>IF(AC109=2,SUMIF(AC116:AC120,"&gt;0"),0)</f>
        <v>0</v>
      </c>
      <c r="AD150" s="74">
        <f>IF(AD109=2,SUMIF(AD116:AD120,"&gt;0"),0)</f>
        <v>0</v>
      </c>
      <c r="AF150" s="77">
        <f>IF(AF109=2,SUMIF(AF116:AF120,"&gt;0"),0)</f>
        <v>0</v>
      </c>
      <c r="AG150" s="74">
        <f>SUM(B150:AF150)</f>
        <v>0</v>
      </c>
      <c r="AH150" s="74">
        <f>AG158-AG150</f>
        <v>4</v>
      </c>
    </row>
    <row r="151" spans="1:34" s="74" customFormat="1" ht="12.75" hidden="1" customHeight="1" x14ac:dyDescent="0.25">
      <c r="A151" s="74" t="s">
        <v>71</v>
      </c>
      <c r="B151" s="74">
        <f>IF(B109=3,SUMIF(B116:B120,"&gt;0"),0)</f>
        <v>0</v>
      </c>
      <c r="D151" s="77">
        <f>IF(D109=3,SUMIF(D116:D120,"&gt;0"),0)</f>
        <v>0</v>
      </c>
      <c r="E151" s="74">
        <f>IF(E109=3,SUMIF(E116:E120,"&gt;0"),0)</f>
        <v>0</v>
      </c>
      <c r="G151" s="77">
        <f>IF(G109=3,SUMIF(G116:G120,"&gt;0"),0)</f>
        <v>1</v>
      </c>
      <c r="H151" s="74">
        <f>IF(H109=3,SUMIF(H116:H120,"&gt;0"),0)</f>
        <v>0</v>
      </c>
      <c r="J151" s="77">
        <f>IF(J109=3,SUMIF(J116:J120,"&gt;0"),0)</f>
        <v>0</v>
      </c>
      <c r="K151" s="77"/>
      <c r="L151" s="74">
        <f>IF(L109=3,SUMIF(L116:L120,"&gt;0"),0)</f>
        <v>0</v>
      </c>
      <c r="N151" s="77">
        <f>IF(N109=3,SUMIF(N116:N120,"&gt;0"),0)</f>
        <v>0</v>
      </c>
      <c r="O151" s="74">
        <f>IF(O109=3,SUMIF(O116:O120,"&gt;0"),0)</f>
        <v>0</v>
      </c>
      <c r="Q151" s="77">
        <f>IF(Q109=3,SUMIF(Q116:Q120,"&gt;0"),0)</f>
        <v>1</v>
      </c>
      <c r="R151" s="74">
        <f>IF(R109=3,SUMIF(R116:R120,"&gt;0"),0)</f>
        <v>0</v>
      </c>
      <c r="T151" s="77">
        <f>IF(T109=3,SUMIF(T116:T120,"&gt;0"),0)</f>
        <v>0</v>
      </c>
      <c r="U151" s="74">
        <f>IF(U109=3,SUMIF(U116:U120,"&gt;0"),0)</f>
        <v>0</v>
      </c>
      <c r="W151" s="77">
        <f>IF(W109=3,SUMIF(W116:W120,"&gt;0"),0)</f>
        <v>0</v>
      </c>
      <c r="X151" s="74">
        <f>IF(X109=3,SUMIF(X116:X120,"&gt;0"),0)</f>
        <v>0</v>
      </c>
      <c r="Z151" s="77">
        <f>IF(Z109=3,SUMIF(Z116:Z120,"&gt;0"),0)</f>
        <v>0</v>
      </c>
      <c r="AA151" s="74">
        <f>IF(AA109=3,SUMIF(AA116:AA120,"&gt;0"),0)</f>
        <v>0</v>
      </c>
      <c r="AC151" s="77">
        <f>IF(AC109=3,SUMIF(AC116:AC120,"&gt;0"),0)</f>
        <v>0</v>
      </c>
      <c r="AD151" s="74">
        <f>IF(AD109=3,SUMIF(AD116:AD120,"&gt;0"),0)</f>
        <v>0</v>
      </c>
      <c r="AF151" s="77">
        <f>IF(AF109=3,SUMIF(AF116:AF120,"&gt;0"),0)</f>
        <v>0</v>
      </c>
      <c r="AG151" s="74">
        <f>SUM(B151:AF151)</f>
        <v>2</v>
      </c>
      <c r="AH151" s="74">
        <f>AG159-AG151</f>
        <v>2</v>
      </c>
    </row>
    <row r="152" spans="1:34" s="74" customFormat="1" ht="12.75" hidden="1" customHeight="1" x14ac:dyDescent="0.25">
      <c r="A152" s="74" t="s">
        <v>72</v>
      </c>
      <c r="B152" s="74">
        <f>IF(B109=4,SUMIF(B116:B120,"&gt;0"),0)</f>
        <v>0</v>
      </c>
      <c r="D152" s="77">
        <f>IF(D109=4,SUMIF(D116:D120,"&gt;0"),0)</f>
        <v>0</v>
      </c>
      <c r="E152" s="74">
        <f>IF(E109=4,SUMIF(E116:E120,"&gt;0"),0)</f>
        <v>0</v>
      </c>
      <c r="G152" s="77">
        <f>IF(G109=4,SUMIF(G116:G120,"&gt;0"),0)</f>
        <v>0</v>
      </c>
      <c r="H152" s="74">
        <f>IF(H109=4,SUMIF(H116:H120,"&gt;0"),0)</f>
        <v>0</v>
      </c>
      <c r="J152" s="77">
        <f>IF(J109=4,SUMIF(J116:J120,"&gt;0"),0)</f>
        <v>0</v>
      </c>
      <c r="K152" s="77"/>
      <c r="L152" s="74">
        <f>IF(L109=4,SUMIF(L116:L120,"&gt;0"),0)</f>
        <v>0</v>
      </c>
      <c r="N152" s="77">
        <f>IF(N109=4,SUMIF(N116:N120,"&gt;0"),0)</f>
        <v>0</v>
      </c>
      <c r="O152" s="74">
        <f>IF(O109=4,SUMIF(O116:O120,"&gt;0"),0)</f>
        <v>0</v>
      </c>
      <c r="Q152" s="77">
        <f>IF(Q109=4,SUMIF(Q116:Q120,"&gt;0"),0)</f>
        <v>0</v>
      </c>
      <c r="R152" s="74">
        <f>IF(R109=4,SUMIF(R116:R120,"&gt;0"),0)</f>
        <v>0</v>
      </c>
      <c r="T152" s="77">
        <f>IF(T109=4,SUMIF(T116:T120,"&gt;0"),0)</f>
        <v>0</v>
      </c>
      <c r="U152" s="74">
        <f>IF(U109=4,SUMIF(U116:U120,"&gt;0"),0)</f>
        <v>0</v>
      </c>
      <c r="W152" s="77">
        <f>IF(W109=4,SUMIF(W116:W120,"&gt;0"),0)</f>
        <v>0</v>
      </c>
      <c r="X152" s="74">
        <f>IF(X109=4,SUMIF(X116:X120,"&gt;0"),0)</f>
        <v>0</v>
      </c>
      <c r="Z152" s="77">
        <f>IF(Z109=4,SUMIF(Z116:Z120,"&gt;0"),0)</f>
        <v>0</v>
      </c>
      <c r="AA152" s="74">
        <f>IF(AA109=4,SUMIF(AA116:AA120,"&gt;0"),0)</f>
        <v>0</v>
      </c>
      <c r="AC152" s="77">
        <f>IF(AC109=4,SUMIF(AC116:AC120,"&gt;0"),0)</f>
        <v>0</v>
      </c>
      <c r="AD152" s="74">
        <f>IF(AD109=4,SUMIF(AD116:AD120,"&gt;0"),0)</f>
        <v>0</v>
      </c>
      <c r="AF152" s="77">
        <f>IF(AF109=4,SUMIF(AF116:AF120,"&gt;0"),0)</f>
        <v>0</v>
      </c>
      <c r="AG152" s="74">
        <f>SUM(B152:AF152)</f>
        <v>0</v>
      </c>
      <c r="AH152" s="74">
        <f>AG160-AG152</f>
        <v>0</v>
      </c>
    </row>
    <row r="153" spans="1:34" s="74" customFormat="1" ht="12.75" hidden="1" customHeight="1" x14ac:dyDescent="0.25">
      <c r="A153" s="74" t="s">
        <v>73</v>
      </c>
      <c r="B153" s="74">
        <f>IF(B109=5,SUMIF(B116:B120,"&gt;0"),0)</f>
        <v>0</v>
      </c>
      <c r="D153" s="77">
        <f>IF(D109=5,SUMIF(D116:D120,"&gt;0"),0)</f>
        <v>0</v>
      </c>
      <c r="E153" s="74">
        <f>IF(E109=5,SUMIF(E116:E120,"&gt;0"),0)</f>
        <v>0</v>
      </c>
      <c r="G153" s="77">
        <f>IF(G109=5,SUMIF(G116:G120,"&gt;0"),0)</f>
        <v>0</v>
      </c>
      <c r="H153" s="74">
        <f>IF(H109=5,SUMIF(H116:H120,"&gt;0"),0)</f>
        <v>0</v>
      </c>
      <c r="J153" s="77">
        <f>IF(J109=5,SUMIF(J116:J120,"&gt;0"),0)</f>
        <v>0</v>
      </c>
      <c r="K153" s="77"/>
      <c r="L153" s="74">
        <f>IF(L109=5,SUMIF(L116:L120,"&gt;0"),0)</f>
        <v>0</v>
      </c>
      <c r="N153" s="77">
        <f>IF(N109=5,SUMIF(N116:N120,"&gt;0"),0)</f>
        <v>0</v>
      </c>
      <c r="O153" s="74">
        <f>IF(O109=5,SUMIF(O116:O120,"&gt;0"),0)</f>
        <v>0</v>
      </c>
      <c r="Q153" s="77">
        <f>IF(Q109=5,SUMIF(Q116:Q120,"&gt;0"),0)</f>
        <v>0</v>
      </c>
      <c r="R153" s="74">
        <f>IF(R109=5,SUMIF(R116:R120,"&gt;0"),0)</f>
        <v>0</v>
      </c>
      <c r="T153" s="77">
        <f>IF(T109=5,SUMIF(T116:T120,"&gt;0"),0)</f>
        <v>0</v>
      </c>
      <c r="U153" s="74">
        <f>IF(U109=5,SUMIF(U116:U120,"&gt;0"),0)</f>
        <v>0</v>
      </c>
      <c r="W153" s="77">
        <f>IF(W109=5,SUMIF(W116:W120,"&gt;0"),0)</f>
        <v>0</v>
      </c>
      <c r="X153" s="74">
        <f>IF(X109=5,SUMIF(X116:X120,"&gt;0"),0)</f>
        <v>0</v>
      </c>
      <c r="Z153" s="77">
        <f>IF(Z109=5,SUMIF(Z116:Z120,"&gt;0"),0)</f>
        <v>0</v>
      </c>
      <c r="AA153" s="74">
        <f>IF(AA109=5,SUMIF(AA116:AA120,"&gt;0"),0)</f>
        <v>0</v>
      </c>
      <c r="AC153" s="77">
        <f>IF(AC109=5,SUMIF(AC116:AC120,"&gt;0"),0)</f>
        <v>0</v>
      </c>
      <c r="AD153" s="74">
        <f>IF(AD109=5,SUMIF(AD116:AD120,"&gt;0"),0)</f>
        <v>0</v>
      </c>
      <c r="AF153" s="77">
        <f>IF(AF109=5,SUMIF(AF116:AF120,"&gt;0"),0)</f>
        <v>0</v>
      </c>
      <c r="AG153" s="74">
        <f>SUM(B153:AF153)</f>
        <v>0</v>
      </c>
      <c r="AH153" s="74">
        <f>AG161-AG153</f>
        <v>0</v>
      </c>
    </row>
    <row r="154" spans="1:34" s="74" customFormat="1" ht="12.75" hidden="1" customHeight="1" x14ac:dyDescent="0.25">
      <c r="D154" s="77"/>
      <c r="G154" s="77"/>
      <c r="J154" s="77"/>
      <c r="K154" s="77"/>
      <c r="N154" s="77"/>
      <c r="Q154" s="77"/>
      <c r="T154" s="77"/>
      <c r="W154" s="77"/>
      <c r="Z154" s="77"/>
      <c r="AC154" s="77"/>
      <c r="AF154" s="77"/>
    </row>
    <row r="155" spans="1:34" s="74" customFormat="1" ht="12.75" hidden="1" customHeight="1" x14ac:dyDescent="0.25">
      <c r="D155" s="77"/>
      <c r="G155" s="77"/>
      <c r="J155" s="77"/>
      <c r="K155" s="77"/>
      <c r="N155" s="77"/>
      <c r="Q155" s="77"/>
      <c r="T155" s="77"/>
      <c r="W155" s="77"/>
      <c r="Z155" s="77"/>
      <c r="AC155" s="77"/>
      <c r="AF155" s="77"/>
    </row>
    <row r="156" spans="1:34" s="74" customFormat="1" ht="51" hidden="1" customHeight="1" x14ac:dyDescent="0.25">
      <c r="A156" s="78" t="s">
        <v>84</v>
      </c>
      <c r="C156" s="74">
        <f>SUMIF(B149:D153,"&gt;0")</f>
        <v>1</v>
      </c>
      <c r="D156" s="77"/>
      <c r="F156" s="74">
        <f>SUMIF(E149:G153,"&gt;0")</f>
        <v>1</v>
      </c>
      <c r="G156" s="77"/>
      <c r="I156" s="74">
        <f>SUMIF(H149:J153,"&gt;0")</f>
        <v>1</v>
      </c>
      <c r="J156" s="77"/>
      <c r="K156" s="77"/>
      <c r="M156" s="74">
        <f>SUMIF(L149:N153,"&gt;0")</f>
        <v>1</v>
      </c>
      <c r="N156" s="77"/>
      <c r="P156" s="74">
        <f>SUMIF(O149:Q153,"&gt;0")</f>
        <v>1</v>
      </c>
      <c r="Q156" s="77"/>
      <c r="S156" s="74">
        <f>SUMIF(R149:T153,"&gt;0")</f>
        <v>1</v>
      </c>
      <c r="T156" s="77"/>
      <c r="V156" s="74">
        <f>SUMIF(U149:W153,"&gt;0")</f>
        <v>0</v>
      </c>
      <c r="W156" s="77"/>
      <c r="Y156" s="74">
        <f>SUMIF(X149:Z153,"&gt;0")</f>
        <v>0</v>
      </c>
      <c r="Z156" s="77"/>
      <c r="AB156" s="74">
        <f>SUMIF(AA149:AC153,"&gt;0")</f>
        <v>0</v>
      </c>
      <c r="AC156" s="77"/>
      <c r="AE156" s="74">
        <f>SUMIF(AD149:AF153,"&gt;0")</f>
        <v>0</v>
      </c>
      <c r="AF156" s="77"/>
      <c r="AG156" s="78" t="s">
        <v>85</v>
      </c>
    </row>
    <row r="157" spans="1:34" s="74" customFormat="1" ht="12.75" hidden="1" customHeight="1" x14ac:dyDescent="0.25">
      <c r="A157" s="74" t="s">
        <v>75</v>
      </c>
      <c r="B157" s="74">
        <f>IF(B109=1,C156,0)</f>
        <v>1</v>
      </c>
      <c r="D157" s="77">
        <f>IF(D109=1,C156,0)</f>
        <v>0</v>
      </c>
      <c r="E157" s="74">
        <f>IF(E109=1,F156,0)</f>
        <v>0</v>
      </c>
      <c r="G157" s="77">
        <f>IF(G109=1,F156,0)</f>
        <v>0</v>
      </c>
      <c r="H157" s="74">
        <f>IF(H109=1,I156,0)</f>
        <v>1</v>
      </c>
      <c r="J157" s="77">
        <f>IF(J109=1,I156,0)</f>
        <v>0</v>
      </c>
      <c r="K157" s="77"/>
      <c r="L157" s="74">
        <f>IF(L109=1,M156,0)</f>
        <v>1</v>
      </c>
      <c r="N157" s="77">
        <f>IF(N109=1,M156,0)</f>
        <v>0</v>
      </c>
      <c r="O157" s="74">
        <f>IF(O109=1,P156,0)</f>
        <v>0</v>
      </c>
      <c r="Q157" s="77">
        <f>IF(Q109=1,P156,0)</f>
        <v>0</v>
      </c>
      <c r="R157" s="74">
        <f>IF(R109=1,S156,0)</f>
        <v>1</v>
      </c>
      <c r="T157" s="77">
        <f>IF(T109=1,S156,0)</f>
        <v>0</v>
      </c>
      <c r="U157" s="74">
        <f>IF(U109=1,V156,0)</f>
        <v>0</v>
      </c>
      <c r="W157" s="77">
        <f>IF(W109=1,V156,0)</f>
        <v>0</v>
      </c>
      <c r="X157" s="74">
        <f>IF(X109=1,Y156,0)</f>
        <v>0</v>
      </c>
      <c r="Z157" s="77">
        <f>IF(Z109=1,Y156,0)</f>
        <v>0</v>
      </c>
      <c r="AA157" s="74">
        <f>IF(AA109=1,AB156,0)</f>
        <v>0</v>
      </c>
      <c r="AC157" s="77">
        <f>IF(AC109=1,AB156,0)</f>
        <v>0</v>
      </c>
      <c r="AD157" s="74">
        <f>IF(AD109=1,AE156,0)</f>
        <v>0</v>
      </c>
      <c r="AF157" s="77">
        <f>IF(AF109=1,AE156,0)</f>
        <v>0</v>
      </c>
      <c r="AG157" s="74">
        <f>SUM(B157:AF157)</f>
        <v>4</v>
      </c>
    </row>
    <row r="158" spans="1:34" s="74" customFormat="1" ht="12.75" hidden="1" customHeight="1" x14ac:dyDescent="0.25">
      <c r="A158" s="74" t="s">
        <v>76</v>
      </c>
      <c r="B158" s="74">
        <f>IF(B109=2,C156,0)</f>
        <v>0</v>
      </c>
      <c r="D158" s="77">
        <f>IF(D109=2,C156,0)</f>
        <v>0</v>
      </c>
      <c r="E158" s="74">
        <f>IF(E109=2,F156,0)</f>
        <v>1</v>
      </c>
      <c r="G158" s="77">
        <f>IF(G109=2,F156,0)</f>
        <v>0</v>
      </c>
      <c r="H158" s="74">
        <f>IF(H109=2,I156,0)</f>
        <v>0</v>
      </c>
      <c r="J158" s="77">
        <f>IF(J109=2,I156,0)</f>
        <v>1</v>
      </c>
      <c r="K158" s="77"/>
      <c r="L158" s="74">
        <f>IF(L109=2,M156,0)</f>
        <v>0</v>
      </c>
      <c r="N158" s="77">
        <f>IF(N109=2,M156,0)</f>
        <v>0</v>
      </c>
      <c r="O158" s="74">
        <f>IF(O109=2,P156,0)</f>
        <v>1</v>
      </c>
      <c r="Q158" s="77">
        <f>IF(Q109=2,P156,0)</f>
        <v>0</v>
      </c>
      <c r="R158" s="74">
        <f>IF(R109=2,S156,0)</f>
        <v>0</v>
      </c>
      <c r="T158" s="77">
        <f>IF(T109=2,S156,0)</f>
        <v>1</v>
      </c>
      <c r="U158" s="74">
        <f>IF(U109=2,V156,0)</f>
        <v>0</v>
      </c>
      <c r="W158" s="77">
        <f>IF(W109=2,V156,0)</f>
        <v>0</v>
      </c>
      <c r="X158" s="74">
        <f>IF(X109=2,Y156,0)</f>
        <v>0</v>
      </c>
      <c r="Z158" s="77">
        <f>IF(Z109=2,Y156,0)</f>
        <v>0</v>
      </c>
      <c r="AA158" s="74">
        <f>IF(AA109=2,AB156,0)</f>
        <v>0</v>
      </c>
      <c r="AC158" s="77">
        <f>IF(AC109=2,AB156,0)</f>
        <v>0</v>
      </c>
      <c r="AD158" s="74">
        <f>IF(AD109=2,AE156,0)</f>
        <v>0</v>
      </c>
      <c r="AF158" s="77">
        <f>IF(AF109=2,AE156,0)</f>
        <v>0</v>
      </c>
      <c r="AG158" s="74">
        <f>SUM(B158:AF158)</f>
        <v>4</v>
      </c>
    </row>
    <row r="159" spans="1:34" s="74" customFormat="1" ht="12.75" hidden="1" customHeight="1" x14ac:dyDescent="0.25">
      <c r="A159" s="74" t="s">
        <v>77</v>
      </c>
      <c r="B159" s="74">
        <f>IF(B109=3,C156,0)</f>
        <v>0</v>
      </c>
      <c r="D159" s="77">
        <f>IF(D109=3,C156,0)</f>
        <v>1</v>
      </c>
      <c r="E159" s="74">
        <f>IF(E109=3,F156,0)</f>
        <v>0</v>
      </c>
      <c r="G159" s="77">
        <f>IF(G109=3,F156,0)</f>
        <v>1</v>
      </c>
      <c r="H159" s="74">
        <f>IF(H109=3,I156,0)</f>
        <v>0</v>
      </c>
      <c r="J159" s="77">
        <f>IF(J109=3,I156,0)</f>
        <v>0</v>
      </c>
      <c r="K159" s="77"/>
      <c r="L159" s="74">
        <f>IF(L109=3,M156,0)</f>
        <v>0</v>
      </c>
      <c r="N159" s="77">
        <f>IF(N109=3,M156,0)</f>
        <v>1</v>
      </c>
      <c r="O159" s="74">
        <f>IF(O109=3,P156,0)</f>
        <v>0</v>
      </c>
      <c r="Q159" s="77">
        <f>IF(Q109=3,P156,0)</f>
        <v>1</v>
      </c>
      <c r="R159" s="74">
        <f>IF(R109=3,S156,0)</f>
        <v>0</v>
      </c>
      <c r="T159" s="77">
        <f>IF(T109=3,S156,0)</f>
        <v>0</v>
      </c>
      <c r="U159" s="74">
        <f>IF(U109=3,V156,0)</f>
        <v>0</v>
      </c>
      <c r="W159" s="77">
        <f>IF(W109=3,V156,0)</f>
        <v>0</v>
      </c>
      <c r="X159" s="74">
        <f>IF(X109=3,Y156,0)</f>
        <v>0</v>
      </c>
      <c r="Z159" s="77">
        <f>IF(Z109=3,Y156,0)</f>
        <v>0</v>
      </c>
      <c r="AA159" s="74">
        <f>IF(AA109=3,AB156,0)</f>
        <v>0</v>
      </c>
      <c r="AC159" s="77">
        <f>IF(AC109=3,AB156,0)</f>
        <v>0</v>
      </c>
      <c r="AD159" s="74">
        <f>IF(AD109=3,AE156,0)</f>
        <v>0</v>
      </c>
      <c r="AF159" s="77">
        <f>IF(AF109=3,AE156,0)</f>
        <v>0</v>
      </c>
      <c r="AG159" s="74">
        <f>SUM(B159:AF159)</f>
        <v>4</v>
      </c>
    </row>
    <row r="160" spans="1:34" s="74" customFormat="1" ht="12.75" hidden="1" customHeight="1" x14ac:dyDescent="0.25">
      <c r="A160" s="74" t="s">
        <v>78</v>
      </c>
      <c r="B160" s="74">
        <f>IF(B109=4,C156,0)</f>
        <v>0</v>
      </c>
      <c r="D160" s="77">
        <f>IF(D109=4,C156,0)</f>
        <v>0</v>
      </c>
      <c r="E160" s="74">
        <f>IF(E109=4,F156,0)</f>
        <v>0</v>
      </c>
      <c r="G160" s="77">
        <f>IF(G109=4,F156,0)</f>
        <v>0</v>
      </c>
      <c r="H160" s="74">
        <f>IF(H109=4,I156,0)</f>
        <v>0</v>
      </c>
      <c r="J160" s="77">
        <f>IF(J109=4,I156,0)</f>
        <v>0</v>
      </c>
      <c r="K160" s="77"/>
      <c r="L160" s="74">
        <f>IF(L109=4,M156,0)</f>
        <v>0</v>
      </c>
      <c r="N160" s="77">
        <f>IF(N109=4,M156,0)</f>
        <v>0</v>
      </c>
      <c r="O160" s="74">
        <f>IF(O109=4,P156,0)</f>
        <v>0</v>
      </c>
      <c r="Q160" s="77">
        <f>IF(Q109=4,P156,0)</f>
        <v>0</v>
      </c>
      <c r="R160" s="74">
        <f>IF(R109=4,S156,0)</f>
        <v>0</v>
      </c>
      <c r="T160" s="77">
        <f>IF(T109=4,S156,0)</f>
        <v>0</v>
      </c>
      <c r="U160" s="74">
        <f>IF(U109=4,V156,0)</f>
        <v>0</v>
      </c>
      <c r="W160" s="77">
        <f>IF(W109=4,V156,0)</f>
        <v>0</v>
      </c>
      <c r="X160" s="74">
        <f>IF(X109=4,Y156,0)</f>
        <v>0</v>
      </c>
      <c r="Z160" s="77">
        <f>IF(Z109=4,Y156,0)</f>
        <v>0</v>
      </c>
      <c r="AA160" s="74">
        <f>IF(AA109=4,AB156,0)</f>
        <v>0</v>
      </c>
      <c r="AC160" s="77">
        <f>IF(AC109=4,AB156,0)</f>
        <v>0</v>
      </c>
      <c r="AD160" s="74">
        <f>IF(AD109=4,AE156,0)</f>
        <v>0</v>
      </c>
      <c r="AF160" s="77">
        <f>IF(AF109=4,AE156,0)</f>
        <v>0</v>
      </c>
      <c r="AG160" s="74">
        <f>SUM(B160:AF160)</f>
        <v>0</v>
      </c>
    </row>
    <row r="161" spans="1:81" s="74" customFormat="1" ht="12.75" hidden="1" customHeight="1" x14ac:dyDescent="0.25">
      <c r="A161" s="74" t="s">
        <v>79</v>
      </c>
      <c r="B161" s="74">
        <f>IF(B109=5,C156,0)</f>
        <v>0</v>
      </c>
      <c r="D161" s="77">
        <f>IF(D109=5,C156,0)</f>
        <v>0</v>
      </c>
      <c r="E161" s="74">
        <f>IF(E109=5,F156,0)</f>
        <v>0</v>
      </c>
      <c r="G161" s="77">
        <f>IF(G109=5,F156,0)</f>
        <v>0</v>
      </c>
      <c r="H161" s="74">
        <f>IF(H109=5,I156,0)</f>
        <v>0</v>
      </c>
      <c r="J161" s="77">
        <f>IF(J109=5,I156,0)</f>
        <v>0</v>
      </c>
      <c r="K161" s="77"/>
      <c r="L161" s="74">
        <f>IF(L109=5,M156,0)</f>
        <v>0</v>
      </c>
      <c r="N161" s="77">
        <f>IF(N109=5,M156,0)</f>
        <v>0</v>
      </c>
      <c r="O161" s="74">
        <f>IF(O109=5,P156,0)</f>
        <v>0</v>
      </c>
      <c r="Q161" s="77">
        <f>IF(Q109=5,P156,0)</f>
        <v>0</v>
      </c>
      <c r="R161" s="74">
        <f>IF(R109=5,S156,0)</f>
        <v>0</v>
      </c>
      <c r="T161" s="77">
        <f>IF(T109=5,S156,0)</f>
        <v>0</v>
      </c>
      <c r="U161" s="74">
        <f>IF(U109=5,V156,0)</f>
        <v>0</v>
      </c>
      <c r="W161" s="77">
        <f>IF(W109=5,V156,0)</f>
        <v>0</v>
      </c>
      <c r="X161" s="74">
        <f>IF(X109=5,Y156,0)</f>
        <v>0</v>
      </c>
      <c r="Z161" s="77">
        <f>IF(Z109=5,Y156,0)</f>
        <v>0</v>
      </c>
      <c r="AA161" s="74">
        <f>IF(AA109=5,AB156,0)</f>
        <v>0</v>
      </c>
      <c r="AC161" s="77">
        <f>IF(AC109=5,AB156,0)</f>
        <v>0</v>
      </c>
      <c r="AD161" s="74">
        <f>IF(AD109=5,AE156,0)</f>
        <v>0</v>
      </c>
      <c r="AF161" s="77">
        <f>IF(AF109=5,AE156,0)</f>
        <v>0</v>
      </c>
      <c r="AG161" s="74">
        <f>SUM(B161:AF161)</f>
        <v>0</v>
      </c>
    </row>
    <row r="162" spans="1:81" hidden="1" x14ac:dyDescent="0.25">
      <c r="A162" s="162"/>
      <c r="B162" s="162"/>
      <c r="C162" s="162"/>
      <c r="D162" s="162"/>
      <c r="E162" s="162"/>
      <c r="F162" s="162"/>
      <c r="G162" s="162"/>
      <c r="H162" s="162"/>
      <c r="I162" s="162"/>
      <c r="J162" s="162"/>
      <c r="K162" s="162"/>
      <c r="L162" s="162"/>
      <c r="M162" s="162"/>
      <c r="N162" s="162"/>
      <c r="O162" s="162"/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  <c r="Z162" s="162"/>
      <c r="AA162" s="162"/>
      <c r="AB162" s="162"/>
      <c r="AC162" s="162"/>
      <c r="AD162" s="162"/>
      <c r="AE162" s="162"/>
      <c r="AF162" s="162"/>
      <c r="AG162" s="162"/>
      <c r="AH162" s="162"/>
      <c r="AI162" s="162"/>
      <c r="AJ162" s="162"/>
      <c r="AK162" s="162"/>
      <c r="AL162" s="162"/>
      <c r="AM162" s="162"/>
      <c r="AN162" s="162"/>
      <c r="AO162" s="159"/>
      <c r="AP162" s="159"/>
      <c r="AQ162" s="159"/>
      <c r="AR162" s="159"/>
      <c r="AS162" s="81"/>
      <c r="AT162" s="81"/>
      <c r="AU162" s="81"/>
      <c r="AV162" s="81"/>
      <c r="AW162" s="152"/>
      <c r="BB162" s="152"/>
      <c r="BE162" s="152"/>
      <c r="BH162" s="152"/>
      <c r="BK162" s="152"/>
      <c r="BN162" s="152"/>
      <c r="BQ162" s="152"/>
      <c r="BT162" s="152"/>
      <c r="BW162" s="152"/>
      <c r="BZ162" s="152"/>
      <c r="CC162" s="152"/>
    </row>
    <row r="163" spans="1:81" s="81" customFormat="1" hidden="1" x14ac:dyDescent="0.25">
      <c r="A163" s="83"/>
      <c r="B163" s="83"/>
      <c r="C163" s="83" t="s">
        <v>86</v>
      </c>
      <c r="D163" s="83">
        <v>1</v>
      </c>
      <c r="E163" s="83"/>
      <c r="F163" s="83"/>
      <c r="G163" s="83">
        <v>2</v>
      </c>
      <c r="H163" s="83"/>
      <c r="I163" s="83"/>
      <c r="J163" s="83">
        <v>3</v>
      </c>
      <c r="K163" s="83"/>
      <c r="L163" s="83"/>
      <c r="M163" s="83"/>
      <c r="N163" s="83">
        <v>4</v>
      </c>
      <c r="O163" s="83"/>
      <c r="P163" s="83"/>
      <c r="Q163" s="83">
        <v>5</v>
      </c>
      <c r="R163" s="83"/>
      <c r="S163" s="83"/>
      <c r="T163" s="83">
        <v>6</v>
      </c>
      <c r="U163" s="83"/>
      <c r="V163" s="83"/>
      <c r="W163" s="83">
        <v>7</v>
      </c>
      <c r="X163" s="83"/>
      <c r="Y163" s="83"/>
      <c r="Z163" s="83">
        <v>8</v>
      </c>
      <c r="AA163" s="83"/>
      <c r="AB163" s="83"/>
      <c r="AC163" s="83">
        <v>9</v>
      </c>
      <c r="AD163" s="83"/>
      <c r="AE163" s="83"/>
      <c r="AF163" s="83">
        <v>10</v>
      </c>
      <c r="AG163"/>
      <c r="AH163" s="83"/>
      <c r="AJ163" s="84"/>
      <c r="AK163"/>
      <c r="AL163"/>
      <c r="AM163"/>
      <c r="AN163"/>
      <c r="AO163"/>
      <c r="AP163"/>
      <c r="AT163" s="84" t="s">
        <v>87</v>
      </c>
      <c r="AW163" s="85"/>
      <c r="BB163" s="85"/>
      <c r="BE163" s="85"/>
      <c r="BH163" s="85"/>
      <c r="BK163" s="85"/>
      <c r="BN163" s="85"/>
      <c r="BQ163" s="85"/>
      <c r="BT163" s="85"/>
      <c r="BW163" s="85"/>
      <c r="BZ163" s="85"/>
      <c r="CC163" s="85"/>
    </row>
    <row r="164" spans="1:81" s="81" customFormat="1" hidden="1" x14ac:dyDescent="0.25">
      <c r="A164" s="86">
        <v>1</v>
      </c>
      <c r="B164" s="86" t="str">
        <f>E93</f>
        <v>SC Midlands KP Silver</v>
      </c>
      <c r="C164" s="86">
        <f>VLOOKUP(B164,AU$3:AY$33,3,FALSE)</f>
        <v>1185.4695015289756</v>
      </c>
      <c r="D164" s="86">
        <f>IF(B157,B172,IF(D157,D172,C164))</f>
        <v>1192.7347507644879</v>
      </c>
      <c r="E164" s="86"/>
      <c r="F164" s="86"/>
      <c r="G164" s="86">
        <f>IF(E157,E172,IF(G157,G172,D164))</f>
        <v>1192.7347507644879</v>
      </c>
      <c r="H164" s="86"/>
      <c r="I164" s="86"/>
      <c r="J164" s="86">
        <f>IF(H157,H172,IF(J157,J172,G164))</f>
        <v>1199.6110339945633</v>
      </c>
      <c r="K164" s="86"/>
      <c r="L164" s="86"/>
      <c r="M164" s="86"/>
      <c r="N164" s="86">
        <f>IF(L157,L172,IF(N157,N172,J164))</f>
        <v>1206.5742990890587</v>
      </c>
      <c r="O164" s="86"/>
      <c r="P164" s="86"/>
      <c r="Q164" s="86">
        <f>IF(O157,O172,IF(Q157,Q172,N164))</f>
        <v>1206.5742990890587</v>
      </c>
      <c r="R164" s="86"/>
      <c r="S164" s="86"/>
      <c r="T164" s="86">
        <f>IF(R157,R172,IF(T157,T172,Q164))</f>
        <v>1212.8166633917963</v>
      </c>
      <c r="U164" s="86"/>
      <c r="V164" s="86"/>
      <c r="W164" s="86">
        <f>IF(U157,U172,IF(W157,W172,T164))</f>
        <v>1212.8166633917963</v>
      </c>
      <c r="X164" s="86"/>
      <c r="Y164" s="86"/>
      <c r="Z164" s="86">
        <f>IF(X157,X172,IF(Z157,Z172,W164))</f>
        <v>1212.8166633917963</v>
      </c>
      <c r="AA164" s="86"/>
      <c r="AB164" s="86"/>
      <c r="AC164" s="86">
        <f>IF(AA157,AA172,IF(AC157,AC172,Z164))</f>
        <v>1212.8166633917963</v>
      </c>
      <c r="AD164" s="86"/>
      <c r="AE164" s="86"/>
      <c r="AF164" s="86">
        <f>IF(AD157,AD172,IF(AF157,AF172,AC164))</f>
        <v>1212.8166633917963</v>
      </c>
      <c r="AG164"/>
      <c r="AH164"/>
      <c r="AK164"/>
      <c r="AL164"/>
      <c r="AM164"/>
      <c r="AN164"/>
      <c r="AO164"/>
      <c r="AP164"/>
      <c r="AT164" s="81" t="str">
        <f>B164</f>
        <v>SC Midlands KP Silver</v>
      </c>
      <c r="AU164" s="81">
        <f>AF164</f>
        <v>1212.8166633917963</v>
      </c>
      <c r="AW164" s="85"/>
      <c r="BB164" s="85"/>
      <c r="BE164" s="85"/>
      <c r="BH164" s="85"/>
      <c r="BK164" s="85"/>
      <c r="BN164" s="85"/>
      <c r="BQ164" s="85"/>
      <c r="BT164" s="85"/>
      <c r="BW164" s="85"/>
      <c r="BZ164" s="85"/>
      <c r="CC164" s="85"/>
    </row>
    <row r="165" spans="1:81" s="81" customFormat="1" hidden="1" x14ac:dyDescent="0.25">
      <c r="A165" s="86">
        <v>2</v>
      </c>
      <c r="B165" s="86" t="str">
        <f>E95</f>
        <v>Columbia SC Starlings 12</v>
      </c>
      <c r="C165" s="86">
        <f>VLOOKUP(B165,AU$3:AY$33,3,FALSE)</f>
        <v>1151.7348719648749</v>
      </c>
      <c r="D165" s="86">
        <f>IF(B158,B172,IF(D158,D172,C165))</f>
        <v>1151.7348719648749</v>
      </c>
      <c r="E165" s="86"/>
      <c r="F165" s="86"/>
      <c r="G165" s="86">
        <f>IF(E158,E172,IF(G158,G172,D165))</f>
        <v>1143.6075354960874</v>
      </c>
      <c r="H165" s="86"/>
      <c r="I165" s="86"/>
      <c r="J165" s="86">
        <f>IF(H158,H172,IF(J158,J172,G165))</f>
        <v>1136.731252266012</v>
      </c>
      <c r="K165" s="86"/>
      <c r="L165" s="86"/>
      <c r="M165" s="86"/>
      <c r="N165" s="86">
        <f>IF(L158,L172,IF(N158,N172,J165))</f>
        <v>1136.731252266012</v>
      </c>
      <c r="O165" s="86"/>
      <c r="P165" s="86"/>
      <c r="Q165" s="86">
        <f>IF(O158,O172,IF(Q158,Q172,N165))</f>
        <v>1128.9761033885843</v>
      </c>
      <c r="R165" s="86"/>
      <c r="S165" s="86"/>
      <c r="T165" s="86">
        <f>IF(R158,R172,IF(T158,T172,Q165))</f>
        <v>1122.7337390858468</v>
      </c>
      <c r="U165" s="86"/>
      <c r="V165" s="86"/>
      <c r="W165" s="86">
        <f>IF(U158,U172,IF(W158,W172,T165))</f>
        <v>1122.7337390858468</v>
      </c>
      <c r="X165" s="86"/>
      <c r="Y165" s="86"/>
      <c r="Z165" s="86">
        <f>IF(X158,X172,IF(Z158,Z172,W165))</f>
        <v>1122.7337390858468</v>
      </c>
      <c r="AA165" s="86"/>
      <c r="AB165" s="86"/>
      <c r="AC165" s="86">
        <f>IF(AA158,AA172,IF(AC158,AC172,Z165))</f>
        <v>1122.7337390858468</v>
      </c>
      <c r="AD165" s="86"/>
      <c r="AE165" s="86"/>
      <c r="AF165" s="86">
        <f>IF(AD158,AD172,IF(AF158,AF172,AC165))</f>
        <v>1122.7337390858468</v>
      </c>
      <c r="AG165"/>
      <c r="AH165"/>
      <c r="AK165"/>
      <c r="AM165"/>
      <c r="AN165"/>
      <c r="AO165"/>
      <c r="AP165"/>
      <c r="AT165" s="81" t="str">
        <f>B165</f>
        <v>Columbia SC Starlings 12</v>
      </c>
      <c r="AU165" s="81">
        <f>AF165</f>
        <v>1122.7337390858468</v>
      </c>
      <c r="AW165" s="85"/>
      <c r="BB165" s="85"/>
      <c r="BE165" s="85"/>
      <c r="BH165" s="85"/>
      <c r="BK165" s="85"/>
      <c r="BN165" s="85"/>
      <c r="BQ165" s="85"/>
      <c r="BT165" s="85"/>
      <c r="BW165" s="85"/>
      <c r="BZ165" s="85"/>
      <c r="CC165" s="85"/>
    </row>
    <row r="166" spans="1:81" s="81" customFormat="1" hidden="1" x14ac:dyDescent="0.25">
      <c r="A166" s="86">
        <v>3</v>
      </c>
      <c r="B166" s="86" t="str">
        <f>E97</f>
        <v>Foothills Skylar</v>
      </c>
      <c r="C166" s="86">
        <f>VLOOKUP(B166,AU$3:AY$33,3,FALSE)</f>
        <v>1153.4695015289756</v>
      </c>
      <c r="D166" s="86">
        <f>IF(B159,B172,IF(D159,D172,C166))</f>
        <v>1146.2042522934632</v>
      </c>
      <c r="E166" s="86"/>
      <c r="F166" s="86"/>
      <c r="G166" s="86">
        <f>IF(E159,E172,IF(G159,G172,D166))</f>
        <v>1154.3315887622507</v>
      </c>
      <c r="H166" s="86"/>
      <c r="I166" s="86"/>
      <c r="J166" s="86">
        <f>IF(H159,H172,IF(J159,J172,G166))</f>
        <v>1154.3315887622507</v>
      </c>
      <c r="K166" s="86"/>
      <c r="L166" s="86"/>
      <c r="M166" s="86"/>
      <c r="N166" s="86">
        <f>IF(L159,L172,IF(N159,N172,J166))</f>
        <v>1147.3683236677552</v>
      </c>
      <c r="O166" s="86"/>
      <c r="P166" s="86"/>
      <c r="Q166" s="86">
        <f>IF(O159,O172,IF(Q159,Q172,N166))</f>
        <v>1155.1234725451829</v>
      </c>
      <c r="R166" s="86"/>
      <c r="S166" s="86"/>
      <c r="T166" s="86">
        <f>IF(R159,R172,IF(T159,T172,Q166))</f>
        <v>1155.1234725451829</v>
      </c>
      <c r="U166" s="86"/>
      <c r="V166" s="86"/>
      <c r="W166" s="86">
        <f>IF(U159,U172,IF(W159,W172,T166))</f>
        <v>1155.1234725451829</v>
      </c>
      <c r="X166" s="86"/>
      <c r="Y166" s="86"/>
      <c r="Z166" s="86">
        <f>IF(X159,X172,IF(Z159,Z172,W166))</f>
        <v>1155.1234725451829</v>
      </c>
      <c r="AA166" s="86"/>
      <c r="AB166" s="86"/>
      <c r="AC166" s="86">
        <f>IF(AA159,AA172,IF(AC159,AC172,Z166))</f>
        <v>1155.1234725451829</v>
      </c>
      <c r="AD166" s="86"/>
      <c r="AE166" s="86"/>
      <c r="AF166" s="86">
        <f>IF(AD159,AD172,IF(AF159,AF172,AC166))</f>
        <v>1155.1234725451829</v>
      </c>
      <c r="AG166"/>
      <c r="AH166"/>
      <c r="AK166"/>
      <c r="AM166"/>
      <c r="AN166"/>
      <c r="AO166"/>
      <c r="AP166"/>
      <c r="AT166" s="81" t="str">
        <f>B166</f>
        <v>Foothills Skylar</v>
      </c>
      <c r="AU166" s="81">
        <f>AF166</f>
        <v>1155.1234725451829</v>
      </c>
      <c r="AW166" s="85"/>
      <c r="BB166" s="85"/>
      <c r="BE166" s="85"/>
      <c r="BH166" s="85"/>
      <c r="BK166" s="85"/>
      <c r="BN166" s="85"/>
      <c r="BQ166" s="85"/>
      <c r="BT166" s="85"/>
      <c r="BW166" s="85"/>
      <c r="BZ166" s="85"/>
      <c r="CC166" s="85"/>
    </row>
    <row r="167" spans="1:81" s="81" customFormat="1" hidden="1" x14ac:dyDescent="0.25">
      <c r="A167" s="86">
        <v>4</v>
      </c>
      <c r="B167" s="86">
        <f>E99</f>
        <v>0</v>
      </c>
      <c r="C167" s="86" t="e">
        <f>VLOOKUP(B167,AU$3:AY$33,3,FALSE)</f>
        <v>#N/A</v>
      </c>
      <c r="D167" s="86" t="e">
        <f>IF(B160,B172,IF(D160,D172,C167))</f>
        <v>#N/A</v>
      </c>
      <c r="E167" s="86"/>
      <c r="F167" s="86"/>
      <c r="G167" s="86" t="e">
        <f>IF(E160,E172,IF(G160,G172,D167))</f>
        <v>#N/A</v>
      </c>
      <c r="H167" s="86"/>
      <c r="I167" s="86"/>
      <c r="J167" s="86" t="e">
        <f>IF(H160,H172,IF(J160,J172,G167))</f>
        <v>#N/A</v>
      </c>
      <c r="K167" s="86"/>
      <c r="L167" s="86"/>
      <c r="M167" s="86"/>
      <c r="N167" s="86" t="e">
        <f>IF(L160,L172,IF(N160,N172,J167))</f>
        <v>#N/A</v>
      </c>
      <c r="O167" s="86"/>
      <c r="P167" s="86"/>
      <c r="Q167" s="86" t="e">
        <f>IF(O160,O172,IF(Q160,Q172,N167))</f>
        <v>#N/A</v>
      </c>
      <c r="R167" s="86"/>
      <c r="S167" s="86"/>
      <c r="T167" s="86" t="e">
        <f>IF(R160,R172,IF(T160,T172,Q167))</f>
        <v>#N/A</v>
      </c>
      <c r="U167" s="86"/>
      <c r="V167" s="86"/>
      <c r="W167" s="86" t="e">
        <f>IF(U160,U172,IF(W160,W172,T167))</f>
        <v>#N/A</v>
      </c>
      <c r="X167" s="86"/>
      <c r="Y167" s="86"/>
      <c r="Z167" s="86" t="e">
        <f>IF(X160,X172,IF(Z160,Z172,W167))</f>
        <v>#N/A</v>
      </c>
      <c r="AA167" s="86"/>
      <c r="AB167" s="86"/>
      <c r="AC167" s="86" t="e">
        <f>IF(AA160,AA172,IF(AC160,AC172,Z167))</f>
        <v>#N/A</v>
      </c>
      <c r="AD167" s="86"/>
      <c r="AE167" s="86"/>
      <c r="AF167" s="86" t="e">
        <f>IF(AD160,AD172,IF(AF160,AF172,AC167))</f>
        <v>#N/A</v>
      </c>
      <c r="AG167"/>
      <c r="AH167"/>
      <c r="AK167"/>
      <c r="AM167"/>
      <c r="AN167"/>
      <c r="AO167"/>
      <c r="AP167"/>
      <c r="AT167" s="81">
        <f>B167</f>
        <v>0</v>
      </c>
      <c r="AU167" s="81" t="e">
        <f>AF167</f>
        <v>#N/A</v>
      </c>
      <c r="AW167" s="85"/>
      <c r="BB167" s="85"/>
      <c r="BE167" s="85"/>
      <c r="BH167" s="85"/>
      <c r="BK167" s="85"/>
      <c r="BN167" s="85"/>
      <c r="BQ167" s="85"/>
      <c r="BT167" s="85"/>
      <c r="BW167" s="85"/>
      <c r="BZ167" s="85"/>
      <c r="CC167" s="85"/>
    </row>
    <row r="168" spans="1:81" s="81" customFormat="1" hidden="1" x14ac:dyDescent="0.25">
      <c r="A168" s="86">
        <v>5</v>
      </c>
      <c r="B168" s="86">
        <f>E101</f>
        <v>0</v>
      </c>
      <c r="C168" s="86" t="e">
        <f>VLOOKUP(B168,AU$3:AY$33,3,FALSE)</f>
        <v>#N/A</v>
      </c>
      <c r="D168" s="86" t="e">
        <f>IF(B161,B172,IF(D161,D172,C168))</f>
        <v>#N/A</v>
      </c>
      <c r="E168" s="86"/>
      <c r="F168" s="86"/>
      <c r="G168" s="86" t="e">
        <f>IF(E161,E172,IF(G161,G172,D168))</f>
        <v>#N/A</v>
      </c>
      <c r="H168" s="86"/>
      <c r="I168" s="86"/>
      <c r="J168" s="86" t="e">
        <f>IF(H161,H172,IF(J161,J172,G168))</f>
        <v>#N/A</v>
      </c>
      <c r="K168" s="86"/>
      <c r="L168" s="86"/>
      <c r="M168" s="86"/>
      <c r="N168" s="86" t="e">
        <f>IF(L161,L172,IF(N161,N172,J168))</f>
        <v>#N/A</v>
      </c>
      <c r="O168" s="86"/>
      <c r="P168" s="86"/>
      <c r="Q168" s="86" t="e">
        <f>IF(O161,O172,IF(Q161,Q172,N168))</f>
        <v>#N/A</v>
      </c>
      <c r="R168" s="86"/>
      <c r="S168" s="86"/>
      <c r="T168" s="86" t="e">
        <f>IF(R161,R172,IF(T161,T172,Q168))</f>
        <v>#N/A</v>
      </c>
      <c r="U168" s="86"/>
      <c r="V168" s="86"/>
      <c r="W168" s="86" t="e">
        <f>IF(U161,U172,IF(W161,W172,T168))</f>
        <v>#N/A</v>
      </c>
      <c r="X168" s="86"/>
      <c r="Y168" s="86"/>
      <c r="Z168" s="86" t="e">
        <f>IF(X161,X172,IF(Z161,Z172,W168))</f>
        <v>#N/A</v>
      </c>
      <c r="AA168" s="86"/>
      <c r="AB168" s="86"/>
      <c r="AC168" s="86" t="e">
        <f>IF(AA161,AA172,IF(AC161,AC172,Z168))</f>
        <v>#N/A</v>
      </c>
      <c r="AD168" s="86"/>
      <c r="AE168" s="86"/>
      <c r="AF168" s="86" t="e">
        <f>IF(AD161,AD172,IF(AF161,AF172,AC168))</f>
        <v>#N/A</v>
      </c>
      <c r="AG168"/>
      <c r="AH168"/>
      <c r="AK168"/>
      <c r="AM168"/>
      <c r="AN168"/>
      <c r="AO168"/>
      <c r="AP168"/>
      <c r="AT168" s="81">
        <f>B168</f>
        <v>0</v>
      </c>
      <c r="AU168" s="81" t="e">
        <f>AF168</f>
        <v>#N/A</v>
      </c>
      <c r="AW168" s="85"/>
      <c r="BB168" s="85"/>
      <c r="BE168" s="85"/>
      <c r="BH168" s="85"/>
      <c r="BK168" s="85"/>
      <c r="BN168" s="85"/>
      <c r="BQ168" s="85"/>
      <c r="BT168" s="85"/>
      <c r="BW168" s="85"/>
      <c r="BZ168" s="85"/>
      <c r="CC168" s="85"/>
    </row>
    <row r="169" spans="1:81" s="81" customFormat="1" hidden="1" x14ac:dyDescent="0.25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/>
      <c r="AH169"/>
      <c r="AK169"/>
      <c r="AM169"/>
      <c r="AN169"/>
      <c r="AO169"/>
      <c r="AP169"/>
      <c r="AW169" s="85"/>
      <c r="BB169" s="85"/>
      <c r="BE169" s="85"/>
      <c r="BH169" s="85"/>
      <c r="BK169" s="85"/>
      <c r="BN169" s="85"/>
      <c r="BQ169" s="85"/>
      <c r="BT169" s="85"/>
      <c r="BW169" s="85"/>
      <c r="BZ169" s="85"/>
      <c r="CC169" s="85"/>
    </row>
    <row r="170" spans="1:81" s="81" customFormat="1" hidden="1" x14ac:dyDescent="0.25">
      <c r="A170" s="86" t="s">
        <v>88</v>
      </c>
      <c r="B170" s="86">
        <f>VLOOKUP(B109,$A164:$AF168,3,FALSE)</f>
        <v>1185.4695015289756</v>
      </c>
      <c r="C170" s="86">
        <v>1</v>
      </c>
      <c r="D170" s="86">
        <f>VLOOKUP(D109,$A164:$AF168,3,FALSE)</f>
        <v>1153.4695015289756</v>
      </c>
      <c r="E170" s="86">
        <f>VLOOKUP(E109,$A164:$AF168,4,FALSE)</f>
        <v>1151.7348719648749</v>
      </c>
      <c r="F170" s="86">
        <v>2</v>
      </c>
      <c r="G170" s="86">
        <f>VLOOKUP(G109,$A164:$AF168,4,FALSE)</f>
        <v>1146.2042522934632</v>
      </c>
      <c r="H170" s="86">
        <f>VLOOKUP(H109,$A164:$AF168,7,FALSE)</f>
        <v>1192.7347507644879</v>
      </c>
      <c r="I170" s="86">
        <v>3</v>
      </c>
      <c r="J170" s="86">
        <f>VLOOKUP(J109,$A164:$AF168,7,FALSE)</f>
        <v>1143.6075354960874</v>
      </c>
      <c r="K170" s="86"/>
      <c r="L170" s="86">
        <f>VLOOKUP(L109,$A164:$AF168,10,FALSE)</f>
        <v>1199.6110339945633</v>
      </c>
      <c r="M170" s="86">
        <v>4</v>
      </c>
      <c r="N170" s="86">
        <f>VLOOKUP(N109,$A164:$AF168,10,FALSE)</f>
        <v>1154.3315887622507</v>
      </c>
      <c r="O170" s="86">
        <f>VLOOKUP(O109,$A164:$AF168,14,FALSE)</f>
        <v>1136.731252266012</v>
      </c>
      <c r="P170" s="86">
        <v>5</v>
      </c>
      <c r="Q170" s="86">
        <f>VLOOKUP(Q109,$A164:$AF168,14,FALSE)</f>
        <v>1147.3683236677552</v>
      </c>
      <c r="R170" s="86">
        <f>VLOOKUP(R109,$A164:$AF168,17,FALSE)</f>
        <v>1206.5742990890587</v>
      </c>
      <c r="S170" s="86">
        <v>6</v>
      </c>
      <c r="T170" s="86">
        <f>VLOOKUP(T109,$A164:$AF168,17,FALSE)</f>
        <v>1128.9761033885843</v>
      </c>
      <c r="U170" s="86">
        <f>VLOOKUP(U109,$A164:$AF168,20,FALSE)</f>
        <v>1122.7337390858468</v>
      </c>
      <c r="V170" s="86">
        <v>7</v>
      </c>
      <c r="W170" s="86">
        <f>VLOOKUP(W109,$A164:$AF168,20,FALSE)</f>
        <v>1155.1234725451829</v>
      </c>
      <c r="X170" s="86">
        <f>VLOOKUP(X109,$A164:$AF168,23,FALSE)</f>
        <v>1212.8166633917963</v>
      </c>
      <c r="Y170" s="86">
        <v>8</v>
      </c>
      <c r="Z170" s="86" t="e">
        <f>VLOOKUP(Z109,$A164:$AF168,23,FALSE)</f>
        <v>#N/A</v>
      </c>
      <c r="AA170" s="86">
        <f>VLOOKUP(AA109,$A164:$AF168,26,FALSE)</f>
        <v>1155.1234725451829</v>
      </c>
      <c r="AB170" s="86">
        <v>9</v>
      </c>
      <c r="AC170" s="86" t="e">
        <f>VLOOKUP(AC109,$A164:$AF168,26,FALSE)</f>
        <v>#N/A</v>
      </c>
      <c r="AD170" s="86">
        <f>VLOOKUP(AD109,$A164:$AF168,29,FALSE)</f>
        <v>1212.8166633917963</v>
      </c>
      <c r="AE170" s="86">
        <v>10</v>
      </c>
      <c r="AF170" s="86">
        <f>VLOOKUP(AF109,$A164:$AF168,29,FALSE)</f>
        <v>1122.7337390858468</v>
      </c>
      <c r="AG170"/>
      <c r="AH170" s="162"/>
      <c r="AI170" s="162"/>
      <c r="AJ170" s="162"/>
      <c r="AK170" s="162"/>
      <c r="AL170" s="162"/>
      <c r="AM170" s="162"/>
      <c r="AN170" s="162"/>
      <c r="AO170" s="159"/>
      <c r="AP170" s="159"/>
      <c r="AQ170" s="159"/>
      <c r="AR170" s="159"/>
      <c r="AW170" s="85"/>
      <c r="BB170" s="85"/>
      <c r="BE170" s="85"/>
      <c r="BH170" s="85"/>
      <c r="BK170" s="85"/>
      <c r="BN170" s="85"/>
      <c r="BQ170" s="85"/>
      <c r="BT170" s="85"/>
      <c r="BW170" s="85"/>
      <c r="BZ170" s="85"/>
      <c r="CC170" s="85"/>
    </row>
    <row r="171" spans="1:81" s="91" customFormat="1" hidden="1" x14ac:dyDescent="0.25">
      <c r="A171" s="87" t="s">
        <v>89</v>
      </c>
      <c r="B171" s="87">
        <f>1/(1+(10^-((B170-D170)/400)))*(B121+D121)</f>
        <v>0.54592192278048368</v>
      </c>
      <c r="C171" s="87"/>
      <c r="D171" s="87">
        <f>1/(1+(10^-((D170-B170)/400)))*(B121+D121)</f>
        <v>0.45407807721951632</v>
      </c>
      <c r="E171" s="87">
        <f>1/(1+(10^-((E170-G170)/400)))*(E121+G121)</f>
        <v>0.50795852929921492</v>
      </c>
      <c r="F171" s="87"/>
      <c r="G171" s="87">
        <f>1/(1+(10^-((G170-E170)/400)))*(E121+G121)</f>
        <v>0.49204147070078524</v>
      </c>
      <c r="H171" s="87">
        <f>1/(1+(10^-((H170-J170)/400)))*(H121+J121)</f>
        <v>0.5702322981202842</v>
      </c>
      <c r="I171" s="87"/>
      <c r="J171" s="87">
        <f>1/(1+(10^-((J170-H170)/400)))*(H121+J121)</f>
        <v>0.42976770187971575</v>
      </c>
      <c r="K171" s="87"/>
      <c r="L171" s="87">
        <f>1/(1+(10^-((L170-N170)/400)))*(L121+N121)</f>
        <v>0.56479593159403574</v>
      </c>
      <c r="M171" s="87"/>
      <c r="N171" s="87">
        <f>1/(1+(10^-((N170-L170)/400)))*(L121+N121)</f>
        <v>0.43520406840596426</v>
      </c>
      <c r="O171" s="87">
        <f>1/(1+(10^-((O170-Q170)/400)))*(O121+Q121)</f>
        <v>0.48469680483923328</v>
      </c>
      <c r="P171" s="87"/>
      <c r="Q171" s="87">
        <f>1/(1+(10^-((Q170-O170)/400)))*(O121+Q121)</f>
        <v>0.51530319516076661</v>
      </c>
      <c r="R171" s="87">
        <f>1/(1+(10^-((R170-T170)/400)))*(R121+T121)</f>
        <v>0.6098522310789074</v>
      </c>
      <c r="S171" s="87"/>
      <c r="T171" s="87">
        <f>1/(1+(10^-((T170-R170)/400)))*(R121+T121)</f>
        <v>0.39014776892109254</v>
      </c>
      <c r="U171" s="87">
        <f>1/(1+(10^-((U170-W170)/400)))*(U121+W121)</f>
        <v>0</v>
      </c>
      <c r="V171" s="87"/>
      <c r="W171" s="87">
        <f>1/(1+(10^-((W170-U170)/400)))*(U121+W121)</f>
        <v>0</v>
      </c>
      <c r="X171" s="87" t="e">
        <f>1/(1+(10^-((X170-Z170)/400)))*(X121+Z121)</f>
        <v>#N/A</v>
      </c>
      <c r="Y171" s="87"/>
      <c r="Z171" s="87" t="e">
        <f>1/(1+(10^-((Z170-X170)/400)))*(X121+Z121)</f>
        <v>#N/A</v>
      </c>
      <c r="AA171" s="87" t="e">
        <f>1/(1+(10^-((AA170-AC170)/400)))*(AA121+AC121)</f>
        <v>#N/A</v>
      </c>
      <c r="AB171" s="87"/>
      <c r="AC171" s="87" t="e">
        <f>1/(1+(10^-((AC170-AA170)/400)))*(AA121+AC121)</f>
        <v>#N/A</v>
      </c>
      <c r="AD171" s="87">
        <f>1/(1+(10^-((AD170-AF170)/400)))*(AD121+AF121)</f>
        <v>0</v>
      </c>
      <c r="AE171" s="87"/>
      <c r="AF171" s="87">
        <f>1/(1+(10^-((AF170-AD170)/400)))*(AD121+AF121)</f>
        <v>0</v>
      </c>
      <c r="AG171" s="88"/>
      <c r="AH171" s="89"/>
      <c r="AI171" s="89"/>
      <c r="AJ171" s="89"/>
      <c r="AK171" s="89"/>
      <c r="AL171" s="89"/>
      <c r="AM171" s="89"/>
      <c r="AN171" s="89"/>
      <c r="AO171" s="90"/>
      <c r="AP171" s="90"/>
      <c r="AQ171" s="90"/>
      <c r="AR171" s="90"/>
      <c r="AW171" s="92"/>
      <c r="BB171" s="92"/>
      <c r="BE171" s="92"/>
      <c r="BH171" s="92"/>
      <c r="BK171" s="92"/>
      <c r="BN171" s="92"/>
      <c r="BQ171" s="92"/>
      <c r="BT171" s="92"/>
      <c r="BW171" s="92"/>
      <c r="BZ171" s="92"/>
      <c r="CC171" s="92"/>
    </row>
    <row r="172" spans="1:81" s="97" customFormat="1" hidden="1" x14ac:dyDescent="0.25">
      <c r="A172" s="93" t="s">
        <v>90</v>
      </c>
      <c r="B172" s="93">
        <f>B170+(B121-B171)*$BA$1</f>
        <v>1192.7347507644879</v>
      </c>
      <c r="C172" s="93"/>
      <c r="D172" s="93">
        <f>D170+(D121-D171)*$BA$1</f>
        <v>1146.2042522934632</v>
      </c>
      <c r="E172" s="93">
        <f>E170+(E121-E171)*$BA$1</f>
        <v>1143.6075354960874</v>
      </c>
      <c r="F172" s="93"/>
      <c r="G172" s="93">
        <f>G170+(G121-G171)*$BA$1</f>
        <v>1154.3315887622507</v>
      </c>
      <c r="H172" s="93">
        <f>H170+(H121-H171)*$BA$1</f>
        <v>1199.6110339945633</v>
      </c>
      <c r="I172" s="93"/>
      <c r="J172" s="93">
        <f>J170+(J121-J171)*$BA$1</f>
        <v>1136.731252266012</v>
      </c>
      <c r="K172" s="93"/>
      <c r="L172" s="93">
        <f>L170+(L121-L171)*$BA$1</f>
        <v>1206.5742990890587</v>
      </c>
      <c r="M172" s="93"/>
      <c r="N172" s="93">
        <f>N170+(N121-N171)*$BA$1</f>
        <v>1147.3683236677552</v>
      </c>
      <c r="O172" s="93">
        <f>O170+(O121-O171)*$BA$1</f>
        <v>1128.9761033885843</v>
      </c>
      <c r="P172" s="93"/>
      <c r="Q172" s="93">
        <f>Q170+(Q121-Q171)*$BA$1</f>
        <v>1155.1234725451829</v>
      </c>
      <c r="R172" s="93">
        <f>R170+(R121-R171)*$BA$1</f>
        <v>1212.8166633917963</v>
      </c>
      <c r="S172" s="93"/>
      <c r="T172" s="93">
        <f>T170+(T121-T171)*$BA$1</f>
        <v>1122.7337390858468</v>
      </c>
      <c r="U172" s="93">
        <f>U170+(U121-U171)*$BA$1</f>
        <v>1122.7337390858468</v>
      </c>
      <c r="V172" s="93"/>
      <c r="W172" s="93">
        <f>W170+(W121-W171)*$BA$1</f>
        <v>1155.1234725451829</v>
      </c>
      <c r="X172" s="93" t="e">
        <f>X170+(X121-X171)*$BA$1</f>
        <v>#N/A</v>
      </c>
      <c r="Y172" s="93"/>
      <c r="Z172" s="93" t="e">
        <f>Z170+(Z121-Z171)*$BA$1</f>
        <v>#N/A</v>
      </c>
      <c r="AA172" s="93" t="e">
        <f>AA170+(AA121-AA171)*$BA$1</f>
        <v>#N/A</v>
      </c>
      <c r="AB172" s="93"/>
      <c r="AC172" s="93" t="e">
        <f>AC170+(AC121-AC171)*$BA$1</f>
        <v>#N/A</v>
      </c>
      <c r="AD172" s="93">
        <f>AD170+(AD121-AD171)*$BA$1</f>
        <v>1212.8166633917963</v>
      </c>
      <c r="AE172" s="93"/>
      <c r="AF172" s="93">
        <f>AF170+(AF121-AF171)*$BA$1</f>
        <v>1122.7337390858468</v>
      </c>
      <c r="AG172" s="94"/>
      <c r="AH172" s="95"/>
      <c r="AI172" s="95"/>
      <c r="AJ172" s="95"/>
      <c r="AK172" s="95"/>
      <c r="AL172" s="95"/>
      <c r="AM172" s="95"/>
      <c r="AN172" s="95"/>
      <c r="AO172" s="96"/>
      <c r="AP172" s="96"/>
      <c r="AQ172" s="96"/>
      <c r="AR172" s="96"/>
      <c r="AW172" s="98"/>
      <c r="BB172" s="98"/>
      <c r="BE172" s="98"/>
      <c r="BH172" s="98"/>
      <c r="BK172" s="98"/>
      <c r="BN172" s="98"/>
      <c r="BQ172" s="98"/>
      <c r="BT172" s="98"/>
      <c r="BW172" s="98"/>
      <c r="BZ172" s="98"/>
      <c r="CC172" s="98"/>
    </row>
    <row r="173" spans="1:81" s="97" customFormat="1" hidden="1" x14ac:dyDescent="0.25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  <c r="AF173" s="93"/>
      <c r="AG173" s="94"/>
      <c r="AH173" s="95"/>
      <c r="AI173" s="95"/>
      <c r="AJ173" s="95"/>
      <c r="AK173" s="95"/>
      <c r="AL173" s="95"/>
      <c r="AM173" s="95"/>
      <c r="AN173" s="95"/>
      <c r="AO173" s="96"/>
      <c r="AP173" s="96"/>
      <c r="AQ173" s="96"/>
      <c r="AR173" s="96"/>
      <c r="AW173" s="98"/>
      <c r="BB173" s="98"/>
      <c r="BE173" s="98"/>
      <c r="BH173" s="98"/>
      <c r="BK173" s="98"/>
      <c r="BN173" s="98"/>
      <c r="BQ173" s="98"/>
      <c r="BT173" s="98"/>
      <c r="BW173" s="98"/>
      <c r="BZ173" s="98"/>
      <c r="CC173" s="98"/>
    </row>
    <row r="174" spans="1:81" s="81" customFormat="1" x14ac:dyDescent="0.25">
      <c r="A174" s="308" t="str">
        <f>IF($AL95=1,"Pool Tiereaker : 1) Matches Won vs Lost (if 3 way tie then #4)  2) Head to Head  3) Game Win %  4) Total Pool Net Points  5) Flip a Coin","Pool Tiebreaker : 1) Games Won vs Lost (if 3 way tie then #5)  2) Head to Head  3) Head to Head Net Points  4) Game Win %  5) Total Pool Net Points  6) Flip a Coin")</f>
        <v>Pool Tiereaker : 1) Matches Won vs Lost (if 3 way tie then #4)  2) Head to Head  3) Game Win %  4) Total Pool Net Points  5) Flip a Coin</v>
      </c>
      <c r="B174" s="308"/>
      <c r="C174" s="308"/>
      <c r="D174" s="308"/>
      <c r="E174" s="308"/>
      <c r="F174" s="308"/>
      <c r="G174" s="308"/>
      <c r="H174" s="308"/>
      <c r="I174" s="308"/>
      <c r="J174" s="308"/>
      <c r="K174" s="308"/>
      <c r="L174" s="308"/>
      <c r="M174" s="308"/>
      <c r="N174" s="308"/>
      <c r="O174" s="308"/>
      <c r="P174" s="308"/>
      <c r="Q174" s="308"/>
      <c r="R174" s="308"/>
      <c r="S174" s="308"/>
      <c r="T174" s="308"/>
      <c r="U174" s="308"/>
      <c r="V174" s="308"/>
      <c r="W174" s="308"/>
      <c r="X174" s="308"/>
      <c r="Y174" s="308"/>
      <c r="Z174" s="308"/>
      <c r="AA174" s="308"/>
      <c r="AB174" s="308"/>
      <c r="AC174" s="308"/>
      <c r="AD174" s="308"/>
      <c r="AE174" s="308"/>
      <c r="AF174" s="308"/>
      <c r="AG174" s="308"/>
      <c r="AH174" s="308"/>
      <c r="AI174" s="308"/>
      <c r="AJ174" s="308"/>
      <c r="AK174" s="308"/>
      <c r="AL174" s="308"/>
      <c r="AM174" s="308"/>
      <c r="AN174" s="309"/>
      <c r="AO174" s="309"/>
      <c r="AP174" s="309"/>
      <c r="AQ174" s="309"/>
    </row>
    <row r="175" spans="1:81" s="81" customFormat="1" x14ac:dyDescent="0.25">
      <c r="A175" s="310"/>
      <c r="B175" s="310"/>
      <c r="C175" s="310"/>
      <c r="D175" s="310"/>
      <c r="E175" s="310"/>
      <c r="F175" s="310"/>
      <c r="G175" s="310"/>
      <c r="H175" s="310"/>
      <c r="I175" s="310"/>
      <c r="J175" s="310"/>
      <c r="K175" s="310"/>
      <c r="L175" s="310"/>
      <c r="M175" s="310"/>
      <c r="N175" s="310"/>
      <c r="O175" s="310"/>
      <c r="P175" s="310"/>
      <c r="Q175" s="310"/>
      <c r="R175" s="310"/>
      <c r="S175" s="310"/>
      <c r="T175" s="310"/>
      <c r="U175" s="310"/>
      <c r="V175" s="310"/>
      <c r="W175" s="310"/>
      <c r="X175" s="310"/>
      <c r="Y175" s="310"/>
      <c r="Z175" s="310"/>
      <c r="AA175" s="310"/>
      <c r="AB175" s="310"/>
      <c r="AC175" s="310"/>
      <c r="AD175" s="310"/>
      <c r="AE175" s="310"/>
      <c r="AF175" s="310"/>
      <c r="AG175" s="310"/>
      <c r="AH175" s="310"/>
      <c r="AI175" s="310"/>
      <c r="AJ175" s="310"/>
      <c r="AK175" s="310"/>
      <c r="AL175" s="310"/>
      <c r="AM175" s="310"/>
      <c r="AN175" s="310"/>
      <c r="AO175" s="310"/>
      <c r="AP175" s="310"/>
      <c r="AQ175" s="310"/>
      <c r="AR175" s="310"/>
    </row>
    <row r="176" spans="1:81" ht="21" thickBot="1" x14ac:dyDescent="0.4">
      <c r="A176" s="314" t="s">
        <v>94</v>
      </c>
      <c r="B176" s="314"/>
      <c r="C176" s="314"/>
      <c r="D176" s="314"/>
      <c r="E176" s="314"/>
      <c r="F176" s="314"/>
      <c r="G176" s="314"/>
      <c r="H176" s="314"/>
      <c r="I176" s="314"/>
      <c r="J176" s="314"/>
      <c r="K176" s="314"/>
      <c r="L176" s="314"/>
      <c r="M176" s="314"/>
      <c r="N176" s="314"/>
      <c r="O176" s="314"/>
      <c r="P176" s="314"/>
      <c r="Q176" s="314"/>
      <c r="R176" s="314"/>
      <c r="S176" s="314"/>
      <c r="T176" s="314"/>
      <c r="U176" s="314"/>
      <c r="V176" s="314"/>
      <c r="W176" s="314"/>
      <c r="X176" s="314"/>
      <c r="Y176" s="314"/>
      <c r="Z176" s="314"/>
      <c r="AA176" s="314"/>
      <c r="AB176" s="314"/>
      <c r="AC176" s="314"/>
      <c r="AD176" s="314"/>
      <c r="AE176" s="314"/>
      <c r="AF176" s="314"/>
      <c r="AG176" s="314"/>
      <c r="AH176" s="314"/>
      <c r="AI176" s="314"/>
      <c r="AJ176" s="314"/>
      <c r="AK176" s="314"/>
      <c r="AL176" s="314"/>
      <c r="AM176" s="314"/>
      <c r="AN176" s="314"/>
      <c r="AO176" s="314"/>
      <c r="AP176" s="314"/>
      <c r="AQ176" s="314"/>
    </row>
    <row r="177" spans="1:53" ht="13.8" thickBot="1" x14ac:dyDescent="0.3">
      <c r="A177" s="315" t="s">
        <v>95</v>
      </c>
      <c r="B177" s="317" t="s">
        <v>96</v>
      </c>
      <c r="C177" s="318"/>
      <c r="D177" s="318"/>
      <c r="E177" s="318"/>
      <c r="F177" s="318"/>
      <c r="G177" s="318"/>
      <c r="H177" s="318"/>
      <c r="I177" s="318"/>
      <c r="J177" s="318"/>
      <c r="K177" s="319"/>
      <c r="L177" s="317" t="s">
        <v>97</v>
      </c>
      <c r="M177" s="318"/>
      <c r="N177" s="318"/>
      <c r="O177" s="318"/>
      <c r="P177" s="318"/>
      <c r="Q177" s="318"/>
      <c r="R177" s="318"/>
      <c r="S177" s="318"/>
      <c r="T177" s="318"/>
      <c r="U177" s="319"/>
      <c r="V177" s="317" t="s">
        <v>98</v>
      </c>
      <c r="W177" s="318"/>
      <c r="X177" s="318"/>
      <c r="Y177" s="318"/>
      <c r="Z177" s="318"/>
      <c r="AA177" s="318"/>
      <c r="AB177" s="318"/>
      <c r="AC177" s="318"/>
      <c r="AD177" s="318"/>
      <c r="AE177" s="319"/>
      <c r="AF177" s="317" t="s">
        <v>99</v>
      </c>
      <c r="AG177" s="318"/>
      <c r="AH177" s="318"/>
      <c r="AI177" s="318"/>
      <c r="AJ177" s="318"/>
      <c r="AK177" s="318"/>
      <c r="AL177" s="318"/>
      <c r="AM177" s="318"/>
      <c r="AN177" s="318"/>
      <c r="AO177" s="319"/>
    </row>
    <row r="178" spans="1:53" ht="13.8" thickBot="1" x14ac:dyDescent="0.3">
      <c r="A178" s="316"/>
      <c r="B178" s="320" t="s">
        <v>8</v>
      </c>
      <c r="C178" s="321"/>
      <c r="D178" s="321"/>
      <c r="E178" s="321"/>
      <c r="F178" s="321"/>
      <c r="G178" s="322"/>
      <c r="H178" s="320" t="s">
        <v>100</v>
      </c>
      <c r="I178" s="321"/>
      <c r="J178" s="321"/>
      <c r="K178" s="322"/>
      <c r="L178" s="320" t="s">
        <v>8</v>
      </c>
      <c r="M178" s="321"/>
      <c r="N178" s="321"/>
      <c r="O178" s="321"/>
      <c r="P178" s="321"/>
      <c r="Q178" s="322"/>
      <c r="R178" s="320" t="s">
        <v>100</v>
      </c>
      <c r="S178" s="321"/>
      <c r="T178" s="321"/>
      <c r="U178" s="322"/>
      <c r="V178" s="320" t="s">
        <v>8</v>
      </c>
      <c r="W178" s="321"/>
      <c r="X178" s="321"/>
      <c r="Y178" s="321"/>
      <c r="Z178" s="321"/>
      <c r="AA178" s="322"/>
      <c r="AB178" s="320" t="s">
        <v>100</v>
      </c>
      <c r="AC178" s="321"/>
      <c r="AD178" s="321"/>
      <c r="AE178" s="322"/>
      <c r="AF178" s="320" t="s">
        <v>8</v>
      </c>
      <c r="AG178" s="321"/>
      <c r="AH178" s="321"/>
      <c r="AI178" s="321"/>
      <c r="AJ178" s="321"/>
      <c r="AK178" s="322"/>
      <c r="AL178" s="320" t="s">
        <v>100</v>
      </c>
      <c r="AM178" s="321"/>
      <c r="AN178" s="321"/>
      <c r="AO178" s="322"/>
    </row>
    <row r="179" spans="1:53" x14ac:dyDescent="0.25">
      <c r="A179" s="99" t="s">
        <v>101</v>
      </c>
      <c r="B179" s="323" t="str">
        <f>IF($AG$8=1,$E$8,IF($AG$10=1,$E$10,IF($AG$12=1,$E$12,IF($AG$14=1,$E$14,IF($AG$16=1,$E$16,"1st Place "&amp;$A179)))))</f>
        <v>Intense Kids power Gvl</v>
      </c>
      <c r="C179" s="324"/>
      <c r="D179" s="324"/>
      <c r="E179" s="324"/>
      <c r="F179" s="324"/>
      <c r="G179" s="324"/>
      <c r="H179" s="325" t="str">
        <f>IF($AG$8=1,$E$9,IF($AG$10=1,$E$11,IF($AG$12=1,$E$13,IF($AG$14=1,$E$15,IF($AG$16=1,$E$17,"1st Place "&amp;$A179)))))</f>
        <v>fj2inten2pm</v>
      </c>
      <c r="I179" s="325"/>
      <c r="J179" s="325"/>
      <c r="K179" s="326"/>
      <c r="L179" s="323" t="str">
        <f>IF($AG$8=2,$E$8,IF($AG$10=2,$E$10,IF($AG$12=2,$E$12,IF($AG$14=2,$E$14,IF($AG$16=2,$E$16,"2nd Place "&amp;$A179)))))</f>
        <v>SC Midlands KP Garnet</v>
      </c>
      <c r="M179" s="324"/>
      <c r="N179" s="324"/>
      <c r="O179" s="324"/>
      <c r="P179" s="324"/>
      <c r="Q179" s="324"/>
      <c r="R179" s="325" t="str">
        <f>IF($AG$8=2,$E$9,IF($AG$10=2,$E$11,IF($AG$12=2,$E$13,IF($AG$14=2,$E$15,IF($AG$16=2,$E$17,"2nd Place "&amp;$A179)))))</f>
        <v>fj1scmid2pm</v>
      </c>
      <c r="S179" s="325"/>
      <c r="T179" s="325"/>
      <c r="U179" s="326"/>
      <c r="V179" s="323" t="str">
        <f>IF($AG$8=3,$E$8,IF($AG$10=3,$E$10,IF($AG$12=3,$E$12,IF($AG$14=3,$E$14,IF($AG$16=3,$E$16,"3rd Place "&amp;$A179)))))</f>
        <v>SC Midlands KP Black</v>
      </c>
      <c r="W179" s="324"/>
      <c r="X179" s="324"/>
      <c r="Y179" s="324"/>
      <c r="Z179" s="324"/>
      <c r="AA179" s="324"/>
      <c r="AB179" s="325" t="str">
        <f>IF($AG$8=3,$E$9,IF($AG$10=3,$E$11,IF($AG$12=3,$E$13,IF($AG$14=3,$E$15,IF($AG$16=3,$E$17,"3rd Place "&amp;$A179)))))</f>
        <v>fj1scmid1pm</v>
      </c>
      <c r="AC179" s="325"/>
      <c r="AD179" s="325"/>
      <c r="AE179" s="326"/>
      <c r="AF179" s="323" t="str">
        <f>IF($AG$8=4,$E$8,IF($AG$10=4,$E$10,IF($AG$12=4,$E$12,IF($AG$14=4,$E$14,IF($AG$16=4,$E$16,"4th Place "&amp;$A179)))))</f>
        <v>Kershaw Dev 12 Black</v>
      </c>
      <c r="AG179" s="324"/>
      <c r="AH179" s="324"/>
      <c r="AI179" s="324"/>
      <c r="AJ179" s="324"/>
      <c r="AK179" s="324"/>
      <c r="AL179" s="325" t="str">
        <f>IF($AG$8=4,$E$9,IF($AG$10=4,$E$11,IF($AG$12=4,$E$13,IF($AG$14=4,$E$15,IF($AG$16=4,$E$17,"4th Place "&amp;$A179)))))</f>
        <v>fj2kersh4pm</v>
      </c>
      <c r="AM179" s="325"/>
      <c r="AN179" s="325"/>
      <c r="AO179" s="326"/>
    </row>
    <row r="180" spans="1:53" ht="13.8" thickBot="1" x14ac:dyDescent="0.3">
      <c r="A180" s="100" t="s">
        <v>102</v>
      </c>
      <c r="B180" s="327" t="str">
        <f>IF($AG$93=1,$E$93,IF($AG$95=1,$E$95,IF($AG$97=1,$E$97,IF($AG$99=1,$E$99,IF($AG$101=1,$E$101,"1st Place "&amp;$A180)))))</f>
        <v>SC Midlands KP Silver</v>
      </c>
      <c r="C180" s="328"/>
      <c r="D180" s="328"/>
      <c r="E180" s="328"/>
      <c r="F180" s="328"/>
      <c r="G180" s="328"/>
      <c r="H180" s="329" t="str">
        <f>IF($AG$93=1,$E$94,IF($AG$95=1,$E$96,IF($AG$97=1,$E$98,IF($AG$99=1,$E$100,IF($AG$101=1,$E$102,"1st Place "&amp;$A180)))))</f>
        <v>fj1scmid4pm</v>
      </c>
      <c r="I180" s="329"/>
      <c r="J180" s="329"/>
      <c r="K180" s="330"/>
      <c r="L180" s="327" t="str">
        <f>IF($AG$93=2,$E$93,IF($AG$95=2,$E$95,IF($AG$97=2,$E$97,IF($AG$99=2,$E$99,IF($AG$101=2,$E$101,"2nd Place "&amp;$A180)))))</f>
        <v>Foothills Skylar</v>
      </c>
      <c r="M180" s="328"/>
      <c r="N180" s="328"/>
      <c r="O180" s="328"/>
      <c r="P180" s="328"/>
      <c r="Q180" s="328"/>
      <c r="R180" s="329" t="str">
        <f>IF($AG$93=2,$E$94,IF($AG$95=2,$E$96,IF($AG$97=2,$E$98,IF($AG$99=2,$E$100,IF($AG$101=2,$E$102,"2nd Place "&amp;$A180)))))</f>
        <v>fj2footh3pm</v>
      </c>
      <c r="S180" s="329"/>
      <c r="T180" s="329"/>
      <c r="U180" s="330"/>
      <c r="V180" s="327" t="str">
        <f>IF($AG$93=3,$E$93,IF($AG$95=3,$E$95,IF($AG$97=3,$E$97,IF($AG$99=3,$E$99,IF($AG$101=3,$E$101,"3rd Place "&amp;$A180)))))</f>
        <v>Columbia SC Starlings 12</v>
      </c>
      <c r="W180" s="328"/>
      <c r="X180" s="328"/>
      <c r="Y180" s="328"/>
      <c r="Z180" s="328"/>
      <c r="AA180" s="328"/>
      <c r="AB180" s="329" t="str">
        <f>IF($AG$93=3,$E$94,IF($AG$95=3,$E$96,IF($AG$97=3,$E$98,IF($AG$99=3,$E$100,IF($AG$101=3,$E$102,"3rd Place "&amp;$A180)))))</f>
        <v>fj2starl1pm</v>
      </c>
      <c r="AC180" s="329"/>
      <c r="AD180" s="329"/>
      <c r="AE180" s="330"/>
      <c r="AF180" s="331"/>
      <c r="AG180" s="332"/>
      <c r="AH180" s="332"/>
      <c r="AI180" s="332"/>
      <c r="AJ180" s="332"/>
      <c r="AK180" s="332"/>
      <c r="AL180" s="337"/>
      <c r="AM180" s="337"/>
      <c r="AN180" s="337"/>
      <c r="AO180" s="338"/>
    </row>
    <row r="181" spans="1:53" s="3" customFormat="1" x14ac:dyDescent="0.25">
      <c r="A181" s="101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102"/>
      <c r="AH181" s="102"/>
      <c r="AI181" s="102"/>
      <c r="AJ181" s="102"/>
      <c r="AK181" s="102"/>
      <c r="AL181" s="102"/>
      <c r="AM181" s="102"/>
      <c r="AN181" s="102"/>
      <c r="AO181" s="102"/>
      <c r="AZ181"/>
      <c r="BA181"/>
    </row>
    <row r="182" spans="1:53" ht="15.6" x14ac:dyDescent="0.3">
      <c r="A182" s="339" t="s">
        <v>103</v>
      </c>
      <c r="B182" s="339"/>
      <c r="C182" s="339"/>
      <c r="D182" s="339"/>
      <c r="E182" s="339"/>
      <c r="F182" s="339"/>
      <c r="G182" s="339"/>
      <c r="H182" s="339"/>
      <c r="I182" s="339"/>
      <c r="J182" s="339"/>
      <c r="K182" s="339"/>
      <c r="L182" s="339"/>
      <c r="M182" s="339"/>
      <c r="N182" s="339"/>
      <c r="O182" s="339"/>
      <c r="P182" s="339"/>
      <c r="Q182" s="339"/>
      <c r="R182" s="339"/>
      <c r="S182" s="339"/>
      <c r="T182" s="339"/>
      <c r="U182" s="339"/>
      <c r="V182" s="339"/>
      <c r="W182" s="339"/>
      <c r="X182" s="339"/>
      <c r="Y182" s="339"/>
      <c r="Z182" s="339"/>
      <c r="AA182" s="339"/>
      <c r="AB182" s="339"/>
      <c r="AC182" s="339"/>
      <c r="AD182" s="339"/>
      <c r="AE182" s="339"/>
      <c r="AF182" s="339"/>
      <c r="AG182" s="339"/>
      <c r="AH182" s="339"/>
      <c r="AI182" s="339"/>
      <c r="AJ182" s="339"/>
      <c r="AK182" s="339"/>
      <c r="AL182" s="339"/>
      <c r="AM182" s="339"/>
      <c r="AN182" s="339"/>
      <c r="AO182" s="339"/>
      <c r="AP182" s="339"/>
      <c r="AQ182" s="339"/>
      <c r="AT182" s="103"/>
      <c r="AU182" s="103"/>
    </row>
    <row r="183" spans="1:53" ht="17.399999999999999" x14ac:dyDescent="0.3">
      <c r="A183" s="340" t="s">
        <v>104</v>
      </c>
      <c r="B183" s="340"/>
      <c r="C183" s="340"/>
      <c r="D183" s="340"/>
      <c r="E183" s="340"/>
      <c r="F183" s="340"/>
      <c r="G183" s="340"/>
      <c r="H183" s="340"/>
      <c r="I183" s="340"/>
      <c r="J183" s="340"/>
      <c r="K183" s="340"/>
      <c r="L183" s="340"/>
      <c r="M183" s="340"/>
      <c r="N183" s="340"/>
      <c r="O183" s="340"/>
      <c r="P183" s="340"/>
      <c r="Q183" s="340"/>
      <c r="R183" s="340"/>
      <c r="S183" s="340"/>
      <c r="T183" s="340"/>
      <c r="U183" s="340"/>
      <c r="V183" s="340"/>
      <c r="W183" s="340"/>
      <c r="X183" s="340"/>
      <c r="Y183" s="340"/>
      <c r="Z183" s="340"/>
      <c r="AA183" s="340"/>
      <c r="AB183" s="340"/>
      <c r="AC183" s="340"/>
      <c r="AD183" s="340"/>
      <c r="AE183" s="340"/>
      <c r="AF183" s="340"/>
      <c r="AG183" s="340"/>
      <c r="AH183" s="340"/>
      <c r="AI183" s="340"/>
      <c r="AJ183" s="340"/>
      <c r="AK183" s="340"/>
      <c r="AL183" s="340"/>
      <c r="AM183" s="340"/>
      <c r="AN183" s="340"/>
      <c r="AO183" s="340"/>
      <c r="AP183" s="340"/>
      <c r="AQ183" s="340"/>
      <c r="AR183" s="340"/>
    </row>
    <row r="184" spans="1:53" x14ac:dyDescent="0.25">
      <c r="A184" s="341"/>
      <c r="B184" s="341"/>
      <c r="C184" s="341"/>
      <c r="D184" s="341"/>
      <c r="E184" s="341"/>
      <c r="F184" s="341"/>
      <c r="G184" s="341"/>
      <c r="H184" s="341"/>
      <c r="I184" s="341"/>
      <c r="J184" s="341"/>
      <c r="K184" s="341"/>
      <c r="L184" s="341"/>
      <c r="M184" s="341"/>
      <c r="N184" s="341"/>
      <c r="O184" s="341"/>
      <c r="P184" s="341"/>
      <c r="Q184" s="341"/>
      <c r="R184" s="341"/>
      <c r="S184" s="341"/>
      <c r="T184" s="341"/>
      <c r="U184" s="341"/>
      <c r="V184" s="341"/>
      <c r="W184" s="341"/>
      <c r="X184" s="341"/>
      <c r="Y184" s="341"/>
      <c r="Z184" s="341"/>
      <c r="AA184" s="341"/>
      <c r="AB184" s="341"/>
      <c r="AC184" s="341"/>
      <c r="AD184" s="341"/>
      <c r="AE184" s="341"/>
      <c r="AF184" s="341"/>
      <c r="AG184" s="341"/>
      <c r="AH184" s="341"/>
      <c r="AI184" s="341"/>
      <c r="AJ184" s="341"/>
      <c r="AK184" s="341"/>
      <c r="AL184" s="341"/>
      <c r="AM184" s="341"/>
      <c r="AN184" s="341"/>
      <c r="AO184" s="341"/>
      <c r="AP184" s="341"/>
      <c r="AQ184" s="341"/>
      <c r="AR184" s="341"/>
    </row>
    <row r="185" spans="1:53" x14ac:dyDescent="0.25">
      <c r="A185" s="341"/>
      <c r="B185" s="341"/>
      <c r="C185" s="341"/>
      <c r="D185" s="341"/>
      <c r="E185" s="341"/>
      <c r="F185" s="341"/>
      <c r="G185" s="341"/>
      <c r="H185" s="341"/>
      <c r="I185" s="341"/>
      <c r="J185" s="341"/>
      <c r="K185" s="341"/>
      <c r="L185" s="341"/>
      <c r="M185" s="341"/>
      <c r="N185" s="341"/>
      <c r="O185" s="341"/>
      <c r="P185" s="341"/>
      <c r="Q185" s="341"/>
      <c r="R185" s="341"/>
      <c r="S185" s="341"/>
      <c r="T185" s="341"/>
      <c r="U185" s="341"/>
      <c r="V185" s="341"/>
      <c r="W185" s="341"/>
      <c r="X185" s="341"/>
      <c r="Y185" s="341"/>
      <c r="Z185" s="341"/>
      <c r="AA185" s="341"/>
      <c r="AB185" s="341"/>
      <c r="AC185" s="341"/>
      <c r="AD185" s="341"/>
      <c r="AE185" s="341"/>
      <c r="AF185" s="341"/>
      <c r="AG185" s="341"/>
      <c r="AH185" s="341"/>
      <c r="AI185" s="341"/>
      <c r="AJ185" s="341"/>
      <c r="AK185" s="341"/>
      <c r="AL185" s="341"/>
      <c r="AM185" s="341"/>
      <c r="AN185" s="341"/>
      <c r="AO185" s="341"/>
      <c r="AP185" s="341"/>
      <c r="AQ185" s="341"/>
      <c r="AR185" s="341"/>
    </row>
    <row r="186" spans="1:53" x14ac:dyDescent="0.25">
      <c r="A186" s="342" t="s">
        <v>105</v>
      </c>
      <c r="B186" s="342"/>
      <c r="C186" s="342"/>
      <c r="D186" s="342"/>
      <c r="E186" s="342"/>
      <c r="F186" s="342"/>
      <c r="G186" s="342"/>
      <c r="H186" s="342"/>
      <c r="I186" s="342"/>
      <c r="J186" s="342"/>
      <c r="K186" s="342"/>
      <c r="L186" s="342"/>
      <c r="M186" s="104"/>
    </row>
    <row r="187" spans="1:53" x14ac:dyDescent="0.25">
      <c r="C187" s="3"/>
      <c r="D187" s="3"/>
      <c r="E187" s="3"/>
      <c r="M187" s="104"/>
    </row>
    <row r="188" spans="1:53" x14ac:dyDescent="0.25">
      <c r="A188" s="309" t="s">
        <v>106</v>
      </c>
      <c r="B188" s="309"/>
      <c r="C188" s="309"/>
      <c r="D188" s="309"/>
      <c r="E188" s="309"/>
      <c r="F188" s="309"/>
      <c r="G188" s="309"/>
      <c r="H188" s="309"/>
      <c r="I188" s="309"/>
      <c r="J188" s="309"/>
      <c r="K188" s="309"/>
      <c r="L188" s="309"/>
      <c r="M188" s="309"/>
      <c r="N188" s="309"/>
      <c r="O188" s="309"/>
      <c r="P188" s="309"/>
      <c r="Q188" s="152"/>
      <c r="S188" s="309" t="s">
        <v>107</v>
      </c>
      <c r="T188" s="309"/>
      <c r="U188" s="309"/>
      <c r="V188" s="309"/>
      <c r="W188" s="309"/>
      <c r="X188" s="309"/>
      <c r="Y188" s="309"/>
      <c r="Z188" s="309"/>
      <c r="AA188" s="309"/>
      <c r="AB188" s="309"/>
      <c r="AC188" s="309"/>
      <c r="AD188" s="309"/>
      <c r="AE188" s="309"/>
      <c r="AF188" s="309"/>
      <c r="AG188" s="309"/>
    </row>
    <row r="190" spans="1:53" ht="13.8" thickBot="1" x14ac:dyDescent="0.3">
      <c r="A190" s="333" t="str">
        <f>IF(B218=1,B210,IF(B218=2,B211,IF(B218=3,B212,IF(B218=4,B213,IF(OR(B218="B",B218="b"),"BYE","invalid")))))</f>
        <v>Intense Kids power Gvl</v>
      </c>
      <c r="B190" s="333"/>
      <c r="C190" s="333"/>
      <c r="D190" s="333"/>
      <c r="E190" s="333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T190" s="151"/>
      <c r="U190" s="151"/>
      <c r="V190" s="333" t="str">
        <f>IF(X218=1,Y210,IF(X218=2,Y211,IF(X218=3,Y212,IF(X218=4,Y213,IF(OR(X218="B",X218="b"),"BYE","invalid")))))</f>
        <v>SC Midlands KP Black</v>
      </c>
      <c r="W190" s="333"/>
      <c r="X190" s="333"/>
      <c r="Y190" s="333"/>
      <c r="Z190" s="333"/>
      <c r="AA190" s="333"/>
      <c r="AB190" s="333"/>
      <c r="AC190" s="105"/>
      <c r="AD190" s="105"/>
      <c r="AE190" s="105"/>
      <c r="AF190" s="105"/>
    </row>
    <row r="191" spans="1:53" x14ac:dyDescent="0.25">
      <c r="A191" s="334" t="s">
        <v>108</v>
      </c>
      <c r="B191" s="334"/>
      <c r="C191" s="334"/>
      <c r="D191" s="334"/>
      <c r="E191" s="334"/>
      <c r="F191" s="107"/>
      <c r="G191" s="105"/>
      <c r="H191" s="105"/>
      <c r="I191" s="105"/>
      <c r="J191" s="105"/>
      <c r="K191" s="105"/>
      <c r="L191" s="105"/>
      <c r="M191" s="105"/>
      <c r="N191" s="105"/>
      <c r="O191" s="105"/>
      <c r="T191" s="160"/>
      <c r="U191" s="160"/>
      <c r="V191" s="335"/>
      <c r="W191" s="335"/>
      <c r="X191" s="335"/>
      <c r="Y191" s="335"/>
      <c r="Z191" s="335"/>
      <c r="AA191" s="335"/>
      <c r="AB191" s="336"/>
      <c r="AC191" s="105"/>
      <c r="AD191" s="105"/>
      <c r="AE191" s="105"/>
      <c r="AF191" s="105"/>
    </row>
    <row r="192" spans="1:53" x14ac:dyDescent="0.25">
      <c r="A192" s="105"/>
      <c r="B192" s="105"/>
      <c r="C192" s="105"/>
      <c r="D192" s="105"/>
      <c r="E192" s="105"/>
      <c r="F192" s="107"/>
      <c r="G192" s="105"/>
      <c r="H192" s="105"/>
      <c r="I192" s="105"/>
      <c r="J192" s="105"/>
      <c r="K192" s="105"/>
      <c r="L192" s="105"/>
      <c r="M192" s="105"/>
      <c r="N192" s="105"/>
      <c r="O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9"/>
      <c r="AC192" s="105"/>
      <c r="AD192" s="105"/>
      <c r="AE192" s="105"/>
      <c r="AF192" s="105"/>
    </row>
    <row r="193" spans="1:53" ht="13.8" thickBot="1" x14ac:dyDescent="0.3">
      <c r="A193" s="349" t="str">
        <f>B212&amp;" ref"</f>
        <v>SC Midlands KP Garnet ref</v>
      </c>
      <c r="B193" s="349"/>
      <c r="C193" s="349"/>
      <c r="D193" s="349"/>
      <c r="E193" s="350"/>
      <c r="F193" s="351" t="str">
        <f>IF(H218=1,B210,IF(H218=2,B211,IF(H218=3,B212,IF(H218=4,B213,"Winner Match 1"))))</f>
        <v>Winner Match 1</v>
      </c>
      <c r="G193" s="352"/>
      <c r="H193" s="352"/>
      <c r="I193" s="352"/>
      <c r="J193" s="352"/>
      <c r="K193" s="352"/>
      <c r="L193" s="352"/>
      <c r="M193" s="352"/>
      <c r="N193" s="352"/>
      <c r="O193" s="105"/>
      <c r="Q193" s="110"/>
      <c r="R193" s="110"/>
      <c r="S193" s="110"/>
      <c r="T193" s="110"/>
      <c r="U193" s="347"/>
      <c r="V193" s="347"/>
      <c r="W193" s="347"/>
      <c r="X193" s="347"/>
      <c r="Y193" s="347"/>
      <c r="Z193" s="347"/>
      <c r="AA193" s="347"/>
      <c r="AB193" s="109"/>
      <c r="AC193" s="351" t="str">
        <f>IF(AD218=1,Y210,IF(AD218=2,Y211,IF(AD218=3,Y212,IF(AD218=4,Y213,"Winner Match 1"))))</f>
        <v>SC Midlands KP Black</v>
      </c>
      <c r="AD193" s="352"/>
      <c r="AE193" s="352"/>
      <c r="AF193" s="352"/>
      <c r="AG193" s="352"/>
      <c r="AH193" s="352"/>
      <c r="AI193" s="352"/>
    </row>
    <row r="194" spans="1:53" x14ac:dyDescent="0.25">
      <c r="A194" s="353" t="s">
        <v>109</v>
      </c>
      <c r="B194" s="353"/>
      <c r="C194" s="353"/>
      <c r="D194" s="353"/>
      <c r="E194" s="353"/>
      <c r="F194" s="354"/>
      <c r="G194" s="355"/>
      <c r="H194" s="355"/>
      <c r="I194" s="356"/>
      <c r="J194" s="357"/>
      <c r="K194" s="358"/>
      <c r="L194" s="358"/>
      <c r="M194" s="358"/>
      <c r="N194" s="358"/>
      <c r="O194" s="105"/>
      <c r="P194" s="105"/>
      <c r="Q194" s="111"/>
      <c r="R194" s="5"/>
      <c r="S194" s="112"/>
      <c r="T194" s="112"/>
      <c r="U194" s="359"/>
      <c r="V194" s="359"/>
      <c r="W194" s="359"/>
      <c r="X194" s="359"/>
      <c r="Y194" s="359"/>
      <c r="Z194" s="359"/>
      <c r="AA194" s="359"/>
      <c r="AB194" s="109"/>
      <c r="AC194" s="354"/>
      <c r="AD194" s="355"/>
      <c r="AE194" s="355"/>
      <c r="AF194" s="356"/>
      <c r="AG194" s="357"/>
      <c r="AH194" s="358"/>
      <c r="AI194" s="358"/>
    </row>
    <row r="195" spans="1:53" ht="13.8" thickBot="1" x14ac:dyDescent="0.3">
      <c r="A195" s="333" t="str">
        <f>IF(D218=1,B210,IF(D218=2,B211,IF(D218=3,B212,IF(D218=4,B213,IF(OR(D218="B",D218="b"),"BYE","invalid")))))</f>
        <v>Foothills Skylar</v>
      </c>
      <c r="B195" s="333"/>
      <c r="C195" s="333"/>
      <c r="D195" s="333"/>
      <c r="E195" s="343"/>
      <c r="F195" s="107"/>
      <c r="G195" s="105"/>
      <c r="H195" s="105"/>
      <c r="I195" s="105"/>
      <c r="J195" s="107"/>
      <c r="K195" s="105"/>
      <c r="L195" s="105"/>
      <c r="M195" s="105"/>
      <c r="N195" s="105"/>
      <c r="O195" s="105"/>
      <c r="P195" s="105"/>
      <c r="Q195" s="105"/>
      <c r="U195" s="105"/>
      <c r="V195" s="344" t="str">
        <f>IF(Z218=1,Y210,IF(Z218=2,Y211,IF(Z218=3,Y212,IF(Z218=4,Y213,IF(OR(Z218="B",Z218="b"),"BYE","invalid")))))</f>
        <v>BYE</v>
      </c>
      <c r="W195" s="344"/>
      <c r="X195" s="344"/>
      <c r="Y195" s="344"/>
      <c r="Z195" s="344"/>
      <c r="AA195" s="344"/>
      <c r="AB195" s="345"/>
      <c r="AC195" s="105"/>
      <c r="AD195" s="105"/>
      <c r="AE195" s="105"/>
      <c r="AF195" s="109"/>
      <c r="AG195" s="105"/>
      <c r="AH195" s="105"/>
    </row>
    <row r="196" spans="1:53" x14ac:dyDescent="0.25">
      <c r="A196" s="334" t="s">
        <v>110</v>
      </c>
      <c r="B196" s="334"/>
      <c r="C196" s="334"/>
      <c r="D196" s="334"/>
      <c r="E196" s="334"/>
      <c r="F196" s="105"/>
      <c r="G196" s="105"/>
      <c r="H196" s="105"/>
      <c r="I196" s="105"/>
      <c r="J196" s="107"/>
      <c r="K196" s="105"/>
      <c r="L196" s="105"/>
      <c r="M196" s="105"/>
      <c r="N196" s="105"/>
      <c r="O196" s="105"/>
      <c r="P196" s="105"/>
      <c r="Q196" s="105"/>
      <c r="V196" s="346"/>
      <c r="W196" s="346"/>
      <c r="X196" s="346"/>
      <c r="Y196" s="346"/>
      <c r="Z196" s="346"/>
      <c r="AA196" s="346"/>
      <c r="AB196" s="346"/>
      <c r="AC196" s="105"/>
      <c r="AD196" s="105"/>
      <c r="AE196" s="105"/>
      <c r="AF196" s="109"/>
      <c r="AG196" s="105"/>
      <c r="AH196" s="105"/>
      <c r="AR196" s="113"/>
      <c r="AS196" s="113"/>
      <c r="AV196" s="113"/>
      <c r="AW196" s="113"/>
      <c r="AX196" s="113"/>
    </row>
    <row r="197" spans="1:53" x14ac:dyDescent="0.25">
      <c r="A197" s="105"/>
      <c r="B197" s="105"/>
      <c r="C197" s="105"/>
      <c r="D197" s="105"/>
      <c r="E197" s="105"/>
      <c r="F197" s="347" t="s">
        <v>111</v>
      </c>
      <c r="G197" s="347"/>
      <c r="H197" s="347"/>
      <c r="I197" s="348"/>
      <c r="J197" s="107"/>
      <c r="K197" s="105"/>
      <c r="L197" s="105"/>
      <c r="M197" s="105"/>
      <c r="N197" s="105"/>
      <c r="O197" s="105"/>
      <c r="P197" s="105"/>
      <c r="Q197" s="105"/>
      <c r="S197" s="105"/>
      <c r="T197" s="105"/>
      <c r="U197" s="105"/>
      <c r="V197" s="105"/>
      <c r="W197" s="105"/>
      <c r="X197" s="110"/>
      <c r="Y197" s="110"/>
      <c r="Z197" s="110"/>
      <c r="AB197" s="110"/>
      <c r="AC197" s="347" t="s">
        <v>111</v>
      </c>
      <c r="AD197" s="347"/>
      <c r="AE197" s="347"/>
      <c r="AF197" s="348"/>
      <c r="AG197" s="105"/>
      <c r="AH197" s="105"/>
    </row>
    <row r="198" spans="1:53" ht="13.8" thickBot="1" x14ac:dyDescent="0.3">
      <c r="A198" s="105"/>
      <c r="B198" s="105"/>
      <c r="C198" s="105"/>
      <c r="D198" s="105"/>
      <c r="E198" s="105"/>
      <c r="F198" s="105"/>
      <c r="G198" s="105"/>
      <c r="H198" s="105"/>
      <c r="I198" s="105"/>
      <c r="J198" s="364" t="str">
        <f>IF(K223=1,B210,IF(K223=2,B211,IF(K223=3,B212,IF(K223=4,B213,"Division Winner"))))</f>
        <v>Division Winner</v>
      </c>
      <c r="K198" s="365"/>
      <c r="L198" s="365"/>
      <c r="M198" s="365"/>
      <c r="N198" s="365"/>
      <c r="O198" s="365"/>
      <c r="P198" s="365"/>
      <c r="Q198" s="365"/>
      <c r="R198" s="151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14"/>
      <c r="AC198" s="114"/>
      <c r="AD198" s="114"/>
      <c r="AE198" s="114"/>
      <c r="AF198" s="115"/>
      <c r="AG198" s="365" t="str">
        <f>IF(AG223=1,Y210,IF(AG223=2,Y211,IF(AG223=3,Y212,IF(AG223=4,Y213,"Division Winner"))))</f>
        <v>Division Winner</v>
      </c>
      <c r="AH198" s="365"/>
      <c r="AI198" s="365"/>
      <c r="AJ198" s="365"/>
      <c r="AK198" s="365"/>
      <c r="AL198" s="114"/>
    </row>
    <row r="199" spans="1:53" ht="13.8" thickBot="1" x14ac:dyDescent="0.3">
      <c r="A199" s="333" t="str">
        <f>IF(E218=1,B210,IF(E218=2,B211,IF(E218=3,B212,IF(E218=4,B213,IF(OR(E218="B",E218="b"),"BYE","invalid")))))</f>
        <v>SC Midlands KP Silver</v>
      </c>
      <c r="B199" s="333"/>
      <c r="C199" s="333"/>
      <c r="D199" s="333"/>
      <c r="E199" s="333"/>
      <c r="F199" s="353" t="s">
        <v>112</v>
      </c>
      <c r="G199" s="353"/>
      <c r="H199" s="353"/>
      <c r="I199" s="353"/>
      <c r="J199" s="360" t="s">
        <v>113</v>
      </c>
      <c r="K199" s="347"/>
      <c r="L199" s="347"/>
      <c r="M199" s="347"/>
      <c r="N199" s="347"/>
      <c r="O199" s="347"/>
      <c r="P199" s="347"/>
      <c r="Q199" s="347"/>
      <c r="S199" s="114"/>
      <c r="T199" s="114"/>
      <c r="U199" s="114"/>
      <c r="V199" s="333" t="str">
        <f>IF(AA218=1,Y210,IF(AA218=2,Y211,IF(AA218=3,Y212,IF(AA218=4,Y213,IF(OR(AA218="B",AA218="b"),"BYE","invalid")))))</f>
        <v>Columbia SC Starlings 12</v>
      </c>
      <c r="W199" s="333"/>
      <c r="X199" s="333"/>
      <c r="Y199" s="333"/>
      <c r="Z199" s="333"/>
      <c r="AA199" s="333"/>
      <c r="AB199" s="333"/>
      <c r="AC199" s="353" t="s">
        <v>114</v>
      </c>
      <c r="AD199" s="353"/>
      <c r="AE199" s="353"/>
      <c r="AF199" s="366"/>
      <c r="AG199" s="367" t="s">
        <v>115</v>
      </c>
      <c r="AH199" s="368"/>
      <c r="AI199" s="368"/>
      <c r="AJ199" s="368"/>
      <c r="AK199" s="368"/>
    </row>
    <row r="200" spans="1:53" x14ac:dyDescent="0.25">
      <c r="A200" s="334" t="s">
        <v>116</v>
      </c>
      <c r="B200" s="334"/>
      <c r="C200" s="334"/>
      <c r="D200" s="334"/>
      <c r="E200" s="334"/>
      <c r="F200" s="107"/>
      <c r="G200" s="105"/>
      <c r="H200" s="105"/>
      <c r="I200" s="105"/>
      <c r="J200" s="360"/>
      <c r="K200" s="347"/>
      <c r="L200" s="347"/>
      <c r="M200" s="347"/>
      <c r="N200" s="347"/>
      <c r="O200" s="347"/>
      <c r="P200" s="347"/>
      <c r="Q200" s="347"/>
      <c r="R200" s="105"/>
      <c r="S200" s="113"/>
      <c r="T200" s="113"/>
      <c r="U200" s="113"/>
      <c r="V200" s="349" t="s">
        <v>117</v>
      </c>
      <c r="W200" s="349"/>
      <c r="X200" s="349"/>
      <c r="Y200" s="349"/>
      <c r="Z200" s="349"/>
      <c r="AA200" s="349"/>
      <c r="AB200" s="350"/>
      <c r="AC200" s="105"/>
      <c r="AD200" s="105"/>
      <c r="AE200" s="105"/>
      <c r="AF200" s="109"/>
      <c r="AG200" s="105"/>
      <c r="AH200" s="105"/>
    </row>
    <row r="201" spans="1:53" x14ac:dyDescent="0.25">
      <c r="A201" s="105"/>
      <c r="B201" s="105"/>
      <c r="C201" s="105"/>
      <c r="D201" s="105"/>
      <c r="E201" s="105"/>
      <c r="F201" s="107"/>
      <c r="G201" s="105"/>
      <c r="H201" s="105"/>
      <c r="I201" s="105"/>
      <c r="J201" s="107"/>
      <c r="K201" s="105"/>
      <c r="L201" s="105"/>
      <c r="M201" s="105"/>
      <c r="N201" s="105"/>
      <c r="O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9"/>
      <c r="AC201" s="107"/>
      <c r="AD201" s="105"/>
      <c r="AE201" s="105"/>
      <c r="AF201" s="109"/>
      <c r="AG201" s="105"/>
      <c r="AH201" s="105"/>
      <c r="AZ201" s="74"/>
      <c r="BA201" s="74"/>
    </row>
    <row r="202" spans="1:53" ht="13.8" thickBot="1" x14ac:dyDescent="0.3">
      <c r="A202" s="347" t="s">
        <v>118</v>
      </c>
      <c r="B202" s="347"/>
      <c r="C202" s="347"/>
      <c r="D202" s="347"/>
      <c r="E202" s="111"/>
      <c r="F202" s="361"/>
      <c r="G202" s="362"/>
      <c r="H202" s="362"/>
      <c r="I202" s="363"/>
      <c r="J202" s="357"/>
      <c r="K202" s="358"/>
      <c r="L202" s="358"/>
      <c r="M202" s="358"/>
      <c r="N202" s="358"/>
      <c r="O202" s="105"/>
      <c r="R202" s="110"/>
      <c r="S202" s="110"/>
      <c r="T202" s="110"/>
      <c r="U202" s="349" t="str">
        <f>Y210&amp;" ref"</f>
        <v>SC Midlands KP Black ref</v>
      </c>
      <c r="V202" s="349"/>
      <c r="W202" s="349"/>
      <c r="X202" s="349"/>
      <c r="Y202" s="349"/>
      <c r="Z202" s="349"/>
      <c r="AA202" s="349"/>
      <c r="AB202" s="350"/>
      <c r="AC202" s="361"/>
      <c r="AD202" s="362"/>
      <c r="AE202" s="362"/>
      <c r="AF202" s="363"/>
      <c r="AG202" s="357"/>
      <c r="AH202" s="358"/>
      <c r="AI202" s="358"/>
      <c r="AZ202" s="74"/>
      <c r="BA202" s="74"/>
    </row>
    <row r="203" spans="1:53" x14ac:dyDescent="0.25">
      <c r="A203" s="353" t="s">
        <v>109</v>
      </c>
      <c r="B203" s="353"/>
      <c r="C203" s="353"/>
      <c r="D203" s="353"/>
      <c r="E203" s="366"/>
      <c r="F203" s="351" t="str">
        <f>IF(J218=1,B210,IF(J218=2,B211,IF(J218=3,B212,IF(J218=4,B213,"Winner Match 2"))))</f>
        <v>Winner Match 2</v>
      </c>
      <c r="G203" s="352"/>
      <c r="H203" s="352"/>
      <c r="I203" s="352"/>
      <c r="J203" s="352"/>
      <c r="K203" s="352"/>
      <c r="L203" s="352"/>
      <c r="M203" s="352"/>
      <c r="N203" s="352"/>
      <c r="O203" s="105"/>
      <c r="Q203" s="111"/>
      <c r="R203" s="111"/>
      <c r="T203" s="112"/>
      <c r="U203" s="353" t="s">
        <v>119</v>
      </c>
      <c r="V203" s="353"/>
      <c r="W203" s="353"/>
      <c r="X203" s="353"/>
      <c r="Y203" s="353"/>
      <c r="Z203" s="353"/>
      <c r="AA203" s="353"/>
      <c r="AB203" s="109"/>
      <c r="AC203" s="351" t="str">
        <f>IF(AF218=1,Y210,IF(AF218=2,Y211,IF(AF218=3,Y212,IF(AF218=4,Y213,"Winner Match 2"))))</f>
        <v>Winner Match 2</v>
      </c>
      <c r="AD203" s="352"/>
      <c r="AE203" s="352"/>
      <c r="AF203" s="352"/>
      <c r="AG203" s="352"/>
      <c r="AH203" s="352"/>
      <c r="AI203" s="352"/>
      <c r="AZ203" s="74"/>
      <c r="BA203" s="74"/>
    </row>
    <row r="204" spans="1:53" ht="13.8" thickBot="1" x14ac:dyDescent="0.3">
      <c r="A204" s="333" t="str">
        <f>IF(G218=1,B210,IF(G218=2,B211,IF(G218=3,B212,IF(G218=4,B213,IF(OR(G218="B",G218="b"),"BYE","invalid")))))</f>
        <v>SC Midlands KP Garnet</v>
      </c>
      <c r="B204" s="333"/>
      <c r="C204" s="333"/>
      <c r="D204" s="333"/>
      <c r="E204" s="343"/>
      <c r="F204" s="107"/>
      <c r="G204" s="105"/>
      <c r="H204" s="105"/>
      <c r="I204" s="105"/>
      <c r="J204" s="105"/>
      <c r="K204" s="105"/>
      <c r="L204" s="105"/>
      <c r="M204" s="105"/>
      <c r="N204" s="105"/>
      <c r="O204" s="105"/>
      <c r="Q204" s="105"/>
      <c r="R204" s="105"/>
      <c r="S204" s="105"/>
      <c r="T204" s="114"/>
      <c r="U204" s="114"/>
      <c r="V204" s="333" t="str">
        <f>IF(AC218=1,Y210,IF(AC218=2,Y211,IF(AC218=3,Y212,IF(AC218=4,Y213,IF(OR(AC218="B",AC218="b"),"BYE","invalid")))))</f>
        <v>Kershaw Dev 12 Black</v>
      </c>
      <c r="W204" s="333"/>
      <c r="X204" s="333"/>
      <c r="Y204" s="333"/>
      <c r="Z204" s="333"/>
      <c r="AA204" s="333"/>
      <c r="AB204" s="343"/>
      <c r="AC204" s="105"/>
      <c r="AD204" s="105"/>
      <c r="AE204" s="105"/>
      <c r="AF204" s="105"/>
      <c r="AZ204" s="74"/>
      <c r="BA204" s="74"/>
    </row>
    <row r="205" spans="1:53" x14ac:dyDescent="0.25">
      <c r="A205" s="334" t="s">
        <v>120</v>
      </c>
      <c r="B205" s="334"/>
      <c r="C205" s="334"/>
      <c r="D205" s="334"/>
      <c r="E205" s="334"/>
      <c r="T205" s="113"/>
      <c r="U205" s="113"/>
      <c r="V205" s="349" t="s">
        <v>121</v>
      </c>
      <c r="W205" s="349"/>
      <c r="X205" s="349"/>
      <c r="Y205" s="349"/>
      <c r="Z205" s="349"/>
      <c r="AA205" s="349"/>
      <c r="AB205" s="349"/>
      <c r="AZ205" s="74"/>
      <c r="BA205" s="74"/>
    </row>
    <row r="206" spans="1:53" x14ac:dyDescent="0.25">
      <c r="AT206" s="74"/>
      <c r="AU206" s="74"/>
      <c r="AZ206" s="74"/>
      <c r="BA206" s="74"/>
    </row>
    <row r="207" spans="1:53" x14ac:dyDescent="0.25">
      <c r="AT207" s="74"/>
      <c r="AU207" s="74"/>
      <c r="AZ207" s="74"/>
      <c r="BA207" s="74"/>
    </row>
    <row r="208" spans="1:53" ht="16.2" thickBot="1" x14ac:dyDescent="0.35">
      <c r="A208" s="369" t="s">
        <v>122</v>
      </c>
      <c r="B208" s="369"/>
      <c r="C208" s="369"/>
      <c r="D208" s="369"/>
      <c r="E208" s="369"/>
      <c r="F208" s="369"/>
      <c r="G208" s="369"/>
      <c r="H208" s="369"/>
      <c r="I208" s="369"/>
      <c r="J208" s="369"/>
      <c r="K208" s="157"/>
      <c r="R208" s="161"/>
      <c r="S208" s="161"/>
      <c r="T208" s="161"/>
      <c r="V208" s="369" t="s">
        <v>123</v>
      </c>
      <c r="W208" s="369"/>
      <c r="X208" s="369"/>
      <c r="Y208" s="369"/>
      <c r="Z208" s="369"/>
      <c r="AA208" s="369"/>
      <c r="AB208" s="369"/>
      <c r="AC208" s="369"/>
      <c r="AD208" s="369"/>
      <c r="AE208" s="369"/>
      <c r="AF208" s="369"/>
      <c r="AG208" s="369"/>
      <c r="AT208" s="74"/>
      <c r="AU208" s="74"/>
      <c r="AZ208" s="74"/>
      <c r="BA208" s="74"/>
    </row>
    <row r="209" spans="1:53" ht="13.8" thickBot="1" x14ac:dyDescent="0.3">
      <c r="A209" s="118" t="s">
        <v>124</v>
      </c>
      <c r="B209" s="370" t="s">
        <v>125</v>
      </c>
      <c r="C209" s="371"/>
      <c r="D209" s="371"/>
      <c r="E209" s="371"/>
      <c r="F209" s="371"/>
      <c r="G209" s="371"/>
      <c r="H209" s="371"/>
      <c r="I209" s="371"/>
      <c r="J209" s="372"/>
      <c r="K209" s="373" t="s">
        <v>126</v>
      </c>
      <c r="L209" s="374"/>
      <c r="M209" s="374"/>
      <c r="N209" s="374"/>
      <c r="O209" s="374"/>
      <c r="P209" s="374"/>
      <c r="Q209" s="375"/>
      <c r="R209" s="105"/>
      <c r="V209" s="376" t="s">
        <v>124</v>
      </c>
      <c r="W209" s="377"/>
      <c r="X209" s="378"/>
      <c r="Y209" s="370" t="s">
        <v>125</v>
      </c>
      <c r="Z209" s="371"/>
      <c r="AA209" s="371"/>
      <c r="AB209" s="371"/>
      <c r="AC209" s="371"/>
      <c r="AD209" s="371"/>
      <c r="AE209" s="371"/>
      <c r="AF209" s="371"/>
      <c r="AG209" s="372"/>
      <c r="AH209" s="373" t="s">
        <v>126</v>
      </c>
      <c r="AI209" s="374"/>
      <c r="AJ209" s="374"/>
      <c r="AK209" s="374"/>
      <c r="AL209" s="374"/>
      <c r="AM209" s="374"/>
      <c r="AN209" s="375"/>
      <c r="AT209" s="74"/>
      <c r="AU209" s="74"/>
      <c r="AZ209" s="74"/>
      <c r="BA209" s="74"/>
    </row>
    <row r="210" spans="1:53" ht="13.8" thickBot="1" x14ac:dyDescent="0.3">
      <c r="A210" s="118">
        <v>1</v>
      </c>
      <c r="B210" s="379" t="str">
        <f>B179</f>
        <v>Intense Kids power Gvl</v>
      </c>
      <c r="C210" s="380"/>
      <c r="D210" s="380"/>
      <c r="E210" s="380"/>
      <c r="F210" s="380"/>
      <c r="G210" s="380"/>
      <c r="H210" s="380"/>
      <c r="I210" s="380"/>
      <c r="J210" s="381"/>
      <c r="K210" s="382" t="str">
        <f>H179</f>
        <v>fj2inten2pm</v>
      </c>
      <c r="L210" s="383"/>
      <c r="M210" s="383"/>
      <c r="N210" s="383"/>
      <c r="O210" s="383"/>
      <c r="P210" s="383"/>
      <c r="Q210" s="384"/>
      <c r="R210" s="105"/>
      <c r="V210" s="376">
        <v>1</v>
      </c>
      <c r="W210" s="377"/>
      <c r="X210" s="378"/>
      <c r="Y210" s="379" t="str">
        <f>V179</f>
        <v>SC Midlands KP Black</v>
      </c>
      <c r="Z210" s="380"/>
      <c r="AA210" s="380"/>
      <c r="AB210" s="380"/>
      <c r="AC210" s="380"/>
      <c r="AD210" s="380"/>
      <c r="AE210" s="380"/>
      <c r="AF210" s="380"/>
      <c r="AG210" s="381"/>
      <c r="AH210" s="382" t="str">
        <f>AB179</f>
        <v>fj1scmid1pm</v>
      </c>
      <c r="AI210" s="383"/>
      <c r="AJ210" s="383"/>
      <c r="AK210" s="383"/>
      <c r="AL210" s="383"/>
      <c r="AM210" s="383"/>
      <c r="AN210" s="384"/>
      <c r="AT210" s="74"/>
      <c r="AU210" s="74"/>
      <c r="AZ210" s="74"/>
      <c r="BA210" s="74"/>
    </row>
    <row r="211" spans="1:53" ht="13.8" thickBot="1" x14ac:dyDescent="0.3">
      <c r="A211" s="118">
        <v>2</v>
      </c>
      <c r="B211" s="379" t="str">
        <f>B180</f>
        <v>SC Midlands KP Silver</v>
      </c>
      <c r="C211" s="380"/>
      <c r="D211" s="380"/>
      <c r="E211" s="380"/>
      <c r="F211" s="380"/>
      <c r="G211" s="380"/>
      <c r="H211" s="380"/>
      <c r="I211" s="380"/>
      <c r="J211" s="381"/>
      <c r="K211" s="382" t="str">
        <f>H180</f>
        <v>fj1scmid4pm</v>
      </c>
      <c r="L211" s="383"/>
      <c r="M211" s="383"/>
      <c r="N211" s="383"/>
      <c r="O211" s="383"/>
      <c r="P211" s="383"/>
      <c r="Q211" s="384"/>
      <c r="R211" s="105"/>
      <c r="V211" s="376">
        <v>2</v>
      </c>
      <c r="W211" s="377"/>
      <c r="X211" s="378"/>
      <c r="Y211" s="379" t="str">
        <f>V180</f>
        <v>Columbia SC Starlings 12</v>
      </c>
      <c r="Z211" s="380"/>
      <c r="AA211" s="380"/>
      <c r="AB211" s="380"/>
      <c r="AC211" s="380"/>
      <c r="AD211" s="380"/>
      <c r="AE211" s="380"/>
      <c r="AF211" s="380"/>
      <c r="AG211" s="381"/>
      <c r="AH211" s="382" t="str">
        <f>AB180</f>
        <v>fj2starl1pm</v>
      </c>
      <c r="AI211" s="383"/>
      <c r="AJ211" s="383"/>
      <c r="AK211" s="383"/>
      <c r="AL211" s="383"/>
      <c r="AM211" s="383"/>
      <c r="AN211" s="384"/>
      <c r="AT211" s="74"/>
      <c r="AU211" s="74"/>
      <c r="AZ211" s="74"/>
      <c r="BA211" s="74"/>
    </row>
    <row r="212" spans="1:53" ht="13.8" thickBot="1" x14ac:dyDescent="0.3">
      <c r="A212" s="118">
        <v>3</v>
      </c>
      <c r="B212" s="379" t="str">
        <f>L179</f>
        <v>SC Midlands KP Garnet</v>
      </c>
      <c r="C212" s="380"/>
      <c r="D212" s="380"/>
      <c r="E212" s="380"/>
      <c r="F212" s="380"/>
      <c r="G212" s="380"/>
      <c r="H212" s="380"/>
      <c r="I212" s="380"/>
      <c r="J212" s="381"/>
      <c r="K212" s="382" t="str">
        <f>R179</f>
        <v>fj1scmid2pm</v>
      </c>
      <c r="L212" s="383"/>
      <c r="M212" s="383"/>
      <c r="N212" s="383"/>
      <c r="O212" s="383"/>
      <c r="P212" s="383"/>
      <c r="Q212" s="384"/>
      <c r="R212" s="105"/>
      <c r="V212" s="376">
        <v>3</v>
      </c>
      <c r="W212" s="377"/>
      <c r="X212" s="378"/>
      <c r="Y212" s="379" t="str">
        <f>AF179</f>
        <v>Kershaw Dev 12 Black</v>
      </c>
      <c r="Z212" s="380"/>
      <c r="AA212" s="380"/>
      <c r="AB212" s="380"/>
      <c r="AC212" s="380"/>
      <c r="AD212" s="380"/>
      <c r="AE212" s="380"/>
      <c r="AF212" s="380"/>
      <c r="AG212" s="381"/>
      <c r="AH212" s="382" t="str">
        <f>AL179</f>
        <v>fj2kersh4pm</v>
      </c>
      <c r="AI212" s="383"/>
      <c r="AJ212" s="383"/>
      <c r="AK212" s="383"/>
      <c r="AL212" s="383"/>
      <c r="AM212" s="383"/>
      <c r="AN212" s="384"/>
      <c r="AT212" s="74"/>
      <c r="AU212" s="74"/>
      <c r="AZ212" s="74"/>
      <c r="BA212" s="74"/>
    </row>
    <row r="213" spans="1:53" ht="13.8" thickBot="1" x14ac:dyDescent="0.3">
      <c r="A213" s="118">
        <v>4</v>
      </c>
      <c r="B213" s="379" t="str">
        <f>L180</f>
        <v>Foothills Skylar</v>
      </c>
      <c r="C213" s="380"/>
      <c r="D213" s="380"/>
      <c r="E213" s="380"/>
      <c r="F213" s="380"/>
      <c r="G213" s="380"/>
      <c r="H213" s="380"/>
      <c r="I213" s="380"/>
      <c r="J213" s="381"/>
      <c r="K213" s="382" t="str">
        <f>R180</f>
        <v>fj2footh3pm</v>
      </c>
      <c r="L213" s="383"/>
      <c r="M213" s="383"/>
      <c r="N213" s="383"/>
      <c r="O213" s="383"/>
      <c r="P213" s="383"/>
      <c r="Q213" s="384"/>
      <c r="R213" s="105"/>
      <c r="V213" s="376">
        <v>4</v>
      </c>
      <c r="W213" s="377"/>
      <c r="X213" s="378"/>
      <c r="Y213" s="379" t="s">
        <v>127</v>
      </c>
      <c r="Z213" s="380"/>
      <c r="AA213" s="380"/>
      <c r="AB213" s="380"/>
      <c r="AC213" s="380"/>
      <c r="AD213" s="380"/>
      <c r="AE213" s="380"/>
      <c r="AF213" s="380"/>
      <c r="AG213" s="381"/>
      <c r="AH213" s="382"/>
      <c r="AI213" s="383"/>
      <c r="AJ213" s="383"/>
      <c r="AK213" s="383"/>
      <c r="AL213" s="383"/>
      <c r="AM213" s="383"/>
      <c r="AN213" s="384"/>
      <c r="AT213" s="74"/>
      <c r="AU213" s="74"/>
      <c r="AZ213" s="74"/>
      <c r="BA213" s="74"/>
    </row>
    <row r="214" spans="1:53" ht="13.8" thickBot="1" x14ac:dyDescent="0.3">
      <c r="AT214" s="74"/>
      <c r="AU214" s="74"/>
      <c r="AZ214" s="74"/>
      <c r="BA214" s="74"/>
    </row>
    <row r="215" spans="1:53" x14ac:dyDescent="0.25">
      <c r="B215" s="385" t="s">
        <v>128</v>
      </c>
      <c r="C215" s="386"/>
      <c r="D215" s="387"/>
      <c r="E215" s="388" t="s">
        <v>128</v>
      </c>
      <c r="F215" s="386"/>
      <c r="G215" s="387"/>
      <c r="H215" s="388" t="s">
        <v>12</v>
      </c>
      <c r="I215" s="386"/>
      <c r="J215" s="389"/>
      <c r="K215" s="155"/>
      <c r="L215" s="390"/>
      <c r="M215" s="390"/>
      <c r="N215" s="390"/>
      <c r="S215" s="120"/>
      <c r="T215" s="120"/>
      <c r="U215" s="120"/>
      <c r="V215" s="120"/>
      <c r="X215" s="385" t="s">
        <v>128</v>
      </c>
      <c r="Y215" s="386"/>
      <c r="Z215" s="387"/>
      <c r="AA215" s="388" t="s">
        <v>128</v>
      </c>
      <c r="AB215" s="386"/>
      <c r="AC215" s="387"/>
      <c r="AD215" s="388" t="s">
        <v>12</v>
      </c>
      <c r="AE215" s="386"/>
      <c r="AF215" s="389"/>
      <c r="AG215" s="390"/>
      <c r="AH215" s="390"/>
      <c r="AI215" s="120"/>
      <c r="AJ215" s="120"/>
      <c r="AK215" s="120"/>
      <c r="AZ215" s="74"/>
      <c r="BA215" s="74"/>
    </row>
    <row r="216" spans="1:53" x14ac:dyDescent="0.25">
      <c r="A216" s="60" t="s">
        <v>129</v>
      </c>
      <c r="B216" s="391">
        <v>3</v>
      </c>
      <c r="C216" s="392"/>
      <c r="D216" s="393"/>
      <c r="E216" s="394" t="s">
        <v>130</v>
      </c>
      <c r="F216" s="392"/>
      <c r="G216" s="393"/>
      <c r="H216" s="394" t="s">
        <v>131</v>
      </c>
      <c r="I216" s="392"/>
      <c r="J216" s="395"/>
      <c r="K216" s="121"/>
      <c r="S216" s="120"/>
      <c r="T216" s="120"/>
      <c r="U216" s="396" t="s">
        <v>129</v>
      </c>
      <c r="V216" s="396"/>
      <c r="W216" s="397"/>
      <c r="X216" s="391"/>
      <c r="Y216" s="392"/>
      <c r="Z216" s="393"/>
      <c r="AA216" s="394">
        <v>1</v>
      </c>
      <c r="AB216" s="392"/>
      <c r="AC216" s="393"/>
      <c r="AD216" s="394" t="s">
        <v>131</v>
      </c>
      <c r="AE216" s="392"/>
      <c r="AF216" s="395"/>
      <c r="AI216" s="120"/>
      <c r="AJ216" s="120"/>
      <c r="AK216" s="120"/>
      <c r="AZ216" s="74"/>
      <c r="BA216" s="74"/>
    </row>
    <row r="217" spans="1:53" ht="13.8" thickBot="1" x14ac:dyDescent="0.3">
      <c r="A217" s="11"/>
      <c r="B217" s="404" t="s">
        <v>43</v>
      </c>
      <c r="C217" s="302"/>
      <c r="D217" s="303"/>
      <c r="E217" s="301" t="s">
        <v>132</v>
      </c>
      <c r="F217" s="302"/>
      <c r="G217" s="303"/>
      <c r="H217" s="301" t="s">
        <v>133</v>
      </c>
      <c r="I217" s="302"/>
      <c r="J217" s="398"/>
      <c r="K217" s="122"/>
      <c r="S217" s="120"/>
      <c r="T217" s="120"/>
      <c r="U217" s="402"/>
      <c r="V217" s="402"/>
      <c r="W217" s="403"/>
      <c r="X217" s="404" t="s">
        <v>43</v>
      </c>
      <c r="Y217" s="302"/>
      <c r="Z217" s="303"/>
      <c r="AA217" s="301" t="s">
        <v>132</v>
      </c>
      <c r="AB217" s="302"/>
      <c r="AC217" s="303"/>
      <c r="AD217" s="301" t="s">
        <v>133</v>
      </c>
      <c r="AE217" s="302"/>
      <c r="AF217" s="398"/>
      <c r="AI217" s="120"/>
      <c r="AJ217" s="120"/>
      <c r="AK217" s="120"/>
      <c r="AZ217" s="74"/>
      <c r="BA217" s="74"/>
    </row>
    <row r="218" spans="1:53" ht="13.8" thickBot="1" x14ac:dyDescent="0.3">
      <c r="A218" s="11"/>
      <c r="B218" s="123">
        <v>1</v>
      </c>
      <c r="C218" s="124" t="s">
        <v>50</v>
      </c>
      <c r="D218" s="125">
        <v>4</v>
      </c>
      <c r="E218" s="126">
        <v>2</v>
      </c>
      <c r="F218" s="124" t="s">
        <v>50</v>
      </c>
      <c r="G218" s="125">
        <v>3</v>
      </c>
      <c r="H218" s="127" t="str">
        <f>IF(OR(AND(OR(B222&gt;0,D222&gt;0),B222&gt;D222),OR(D218="b",D218="B")),B218,IF(OR(AND(OR(B222&gt;0,D222&gt;0),D222&gt;B222),OR(B218="b",B218="B")),D218,"W1"))</f>
        <v>W1</v>
      </c>
      <c r="I218" s="128" t="s">
        <v>50</v>
      </c>
      <c r="J218" s="129" t="str">
        <f>IF(OR(AND(OR(E222&gt;0,G222&gt;0),E222&gt;G222),OR(G218="b",G218="B")),E218,IF(OR(AND(OR(E222&gt;0,G222&gt;0),G222&gt;E222),OR(E218="b",E218="B")),G218,"W2"))</f>
        <v>W2</v>
      </c>
      <c r="K218" s="399" t="s">
        <v>134</v>
      </c>
      <c r="L218" s="400"/>
      <c r="M218" s="400"/>
      <c r="N218" s="401"/>
      <c r="S218" s="120"/>
      <c r="T218" s="120"/>
      <c r="U218" s="402"/>
      <c r="V218" s="402"/>
      <c r="W218" s="403"/>
      <c r="X218" s="123">
        <v>1</v>
      </c>
      <c r="Y218" s="124" t="s">
        <v>50</v>
      </c>
      <c r="Z218" s="125" t="s">
        <v>91</v>
      </c>
      <c r="AA218" s="126">
        <v>2</v>
      </c>
      <c r="AB218" s="124" t="s">
        <v>50</v>
      </c>
      <c r="AC218" s="125">
        <v>3</v>
      </c>
      <c r="AD218" s="127">
        <f>IF(OR(AND(OR(X222&gt;0,Z222&gt;0),X222&gt;Z222),OR(Z218="b",Z218="B")),X218,IF(OR(AND(OR(X222&gt;0,Z222&gt;0),Z222&gt;X222),OR(X218="b",X218="B")),Z218,"W1"))</f>
        <v>1</v>
      </c>
      <c r="AE218" s="128" t="s">
        <v>50</v>
      </c>
      <c r="AF218" s="129" t="str">
        <f>IF(OR(AND(OR(AA222&gt;0,AC222&gt;0),AA222&gt;AC222),OR(AC222="b",AC222="B")),AA218,IF(OR(AND(OR(AA222&gt;0,AC222&gt;0),AC222&gt;AA222),OR(AA222="b",AA222="B")),AC218,"W2"))</f>
        <v>W2</v>
      </c>
      <c r="AG218" s="399" t="s">
        <v>134</v>
      </c>
      <c r="AH218" s="401"/>
      <c r="AI218" s="120"/>
      <c r="AJ218" s="120"/>
      <c r="AK218" s="120"/>
      <c r="AZ218" s="74"/>
      <c r="BA218" s="74"/>
    </row>
    <row r="219" spans="1:53" ht="13.5" hidden="1" customHeight="1" x14ac:dyDescent="0.25">
      <c r="A219" s="11"/>
      <c r="B219" s="130">
        <f>IF(B223&gt;D223,1,0)</f>
        <v>0</v>
      </c>
      <c r="C219" s="131"/>
      <c r="D219" s="132">
        <f>IF(D223&gt;B223,1,0)</f>
        <v>0</v>
      </c>
      <c r="E219" s="130">
        <f>IF(E223&gt;G223,1,0)</f>
        <v>0</v>
      </c>
      <c r="F219" s="131"/>
      <c r="G219" s="132">
        <f>IF(G223&gt;E223,1,0)</f>
        <v>0</v>
      </c>
      <c r="H219" s="130">
        <f>IF(H223&gt;J223,1,0)</f>
        <v>0</v>
      </c>
      <c r="I219" s="131"/>
      <c r="J219" s="132">
        <f>IF(J223&gt;H223,1,0)</f>
        <v>0</v>
      </c>
      <c r="K219" s="133"/>
      <c r="L219" s="134"/>
      <c r="M219" s="134"/>
      <c r="N219" s="135"/>
      <c r="S219" s="120"/>
      <c r="T219" s="120"/>
      <c r="U219" s="402"/>
      <c r="V219" s="402"/>
      <c r="W219" s="403"/>
      <c r="X219" s="130">
        <f>IF(X223&gt;Z223,1,0)</f>
        <v>0</v>
      </c>
      <c r="Y219" s="131"/>
      <c r="Z219" s="132">
        <f>IF(Z223&gt;X223,1,0)</f>
        <v>0</v>
      </c>
      <c r="AA219" s="130">
        <f>IF(AA223&gt;AC223,1,0)</f>
        <v>0</v>
      </c>
      <c r="AB219" s="131"/>
      <c r="AC219" s="132">
        <f>IF(AC223&gt;AA223,1,0)</f>
        <v>0</v>
      </c>
      <c r="AD219" s="130">
        <f>IF(AD223&gt;AF223,1,0)</f>
        <v>0</v>
      </c>
      <c r="AE219" s="131"/>
      <c r="AF219" s="132">
        <f>IF(AF223&gt;AD223,1,0)</f>
        <v>0</v>
      </c>
      <c r="AG219" s="153"/>
      <c r="AH219" s="154"/>
      <c r="AI219" s="120"/>
      <c r="AJ219" s="120"/>
      <c r="AK219" s="120"/>
      <c r="AZ219" s="74"/>
      <c r="BA219" s="74"/>
    </row>
    <row r="220" spans="1:53" ht="13.5" hidden="1" customHeight="1" x14ac:dyDescent="0.25">
      <c r="A220" s="11"/>
      <c r="B220" s="130">
        <f>IF(B224&gt;D224,1,0)</f>
        <v>0</v>
      </c>
      <c r="C220" s="131"/>
      <c r="D220" s="132">
        <f>IF(D224&gt;B224,1,0)</f>
        <v>0</v>
      </c>
      <c r="E220" s="130">
        <f>IF(E224&gt;G224,1,0)</f>
        <v>0</v>
      </c>
      <c r="F220" s="131"/>
      <c r="G220" s="132">
        <f>IF(G224&gt;E224,1,0)</f>
        <v>0</v>
      </c>
      <c r="H220" s="130">
        <f>IF(H224&gt;J224,1,0)</f>
        <v>0</v>
      </c>
      <c r="I220" s="131"/>
      <c r="J220" s="132">
        <f>IF(J224&gt;H224,1,0)</f>
        <v>0</v>
      </c>
      <c r="K220" s="133"/>
      <c r="L220" s="134"/>
      <c r="M220" s="134"/>
      <c r="N220" s="135"/>
      <c r="S220" s="120"/>
      <c r="T220" s="120"/>
      <c r="U220" s="402"/>
      <c r="V220" s="402"/>
      <c r="W220" s="403"/>
      <c r="X220" s="130">
        <f>IF(X224&gt;Z224,1,0)</f>
        <v>0</v>
      </c>
      <c r="Y220" s="131"/>
      <c r="Z220" s="132">
        <f>IF(Z224&gt;X224,1,0)</f>
        <v>0</v>
      </c>
      <c r="AA220" s="130">
        <f>IF(AA224&gt;AC224,1,0)</f>
        <v>0</v>
      </c>
      <c r="AB220" s="131"/>
      <c r="AC220" s="132">
        <f>IF(AC224&gt;AA224,1,0)</f>
        <v>0</v>
      </c>
      <c r="AD220" s="130">
        <f>IF(AD224&gt;AF224,1,0)</f>
        <v>0</v>
      </c>
      <c r="AE220" s="131"/>
      <c r="AF220" s="132">
        <f>IF(AF224&gt;AD224,1,0)</f>
        <v>0</v>
      </c>
      <c r="AG220" s="153"/>
      <c r="AH220" s="154"/>
      <c r="AI220" s="120"/>
      <c r="AJ220" s="120"/>
      <c r="AK220" s="120"/>
      <c r="AZ220" s="74"/>
      <c r="BA220" s="74"/>
    </row>
    <row r="221" spans="1:53" ht="13.5" hidden="1" customHeight="1" x14ac:dyDescent="0.25">
      <c r="A221" s="11"/>
      <c r="B221" s="130">
        <f>IF(B225&gt;D225,1,0)</f>
        <v>0</v>
      </c>
      <c r="C221" s="131"/>
      <c r="D221" s="132">
        <f>IF(D225&gt;B225,1,0)</f>
        <v>0</v>
      </c>
      <c r="E221" s="130">
        <f>IF(E225&gt;G225,1,0)</f>
        <v>0</v>
      </c>
      <c r="F221" s="131"/>
      <c r="G221" s="132">
        <f>IF(G225&gt;E225,1,0)</f>
        <v>0</v>
      </c>
      <c r="H221" s="130">
        <f>IF(H225&gt;J225,1,0)</f>
        <v>0</v>
      </c>
      <c r="I221" s="131"/>
      <c r="J221" s="132">
        <f>IF(J225&gt;H225,1,0)</f>
        <v>0</v>
      </c>
      <c r="K221" s="133"/>
      <c r="L221" s="134"/>
      <c r="M221" s="134"/>
      <c r="N221" s="135"/>
      <c r="S221" s="120"/>
      <c r="T221" s="120"/>
      <c r="U221" s="402"/>
      <c r="V221" s="402"/>
      <c r="W221" s="403"/>
      <c r="X221" s="130">
        <f>IF(X225&gt;Z225,1,0)</f>
        <v>0</v>
      </c>
      <c r="Y221" s="131"/>
      <c r="Z221" s="132">
        <f>IF(Z225&gt;X225,1,0)</f>
        <v>0</v>
      </c>
      <c r="AA221" s="130">
        <f>IF(AA225&gt;AC225,1,0)</f>
        <v>0</v>
      </c>
      <c r="AB221" s="131"/>
      <c r="AC221" s="132">
        <f>IF(AC225&gt;AA225,1,0)</f>
        <v>0</v>
      </c>
      <c r="AD221" s="130">
        <f>IF(AD225&gt;AF225,1,0)</f>
        <v>0</v>
      </c>
      <c r="AE221" s="131"/>
      <c r="AF221" s="132">
        <f>IF(AF225&gt;AD225,1,0)</f>
        <v>0</v>
      </c>
      <c r="AG221" s="153"/>
      <c r="AH221" s="154"/>
      <c r="AI221" s="120"/>
      <c r="AJ221" s="120"/>
      <c r="AK221" s="120"/>
      <c r="AZ221" s="74"/>
      <c r="BA221" s="74"/>
    </row>
    <row r="222" spans="1:53" ht="13.5" hidden="1" customHeight="1" x14ac:dyDescent="0.25">
      <c r="A222" s="11"/>
      <c r="B222" s="130">
        <f>SUM(B219:B221)</f>
        <v>0</v>
      </c>
      <c r="C222" s="131"/>
      <c r="D222" s="130">
        <f>SUM(D219:D221)</f>
        <v>0</v>
      </c>
      <c r="E222" s="130">
        <f>SUM(E219:E221)</f>
        <v>0</v>
      </c>
      <c r="F222" s="131"/>
      <c r="G222" s="130">
        <f>SUM(G219:G221)</f>
        <v>0</v>
      </c>
      <c r="H222" s="130">
        <f>SUM(H219:H221)</f>
        <v>0</v>
      </c>
      <c r="I222" s="131"/>
      <c r="J222" s="130">
        <f>SUM(J219:J221)</f>
        <v>0</v>
      </c>
      <c r="K222" s="133"/>
      <c r="L222" s="134"/>
      <c r="M222" s="134"/>
      <c r="N222" s="135"/>
      <c r="S222" s="120"/>
      <c r="T222" s="120"/>
      <c r="U222" s="402"/>
      <c r="V222" s="402"/>
      <c r="W222" s="403"/>
      <c r="X222" s="130">
        <f>SUM(X219:X221)</f>
        <v>0</v>
      </c>
      <c r="Y222" s="131"/>
      <c r="Z222" s="130">
        <f>SUM(Z219:Z221)</f>
        <v>0</v>
      </c>
      <c r="AA222" s="130">
        <f>SUM(AA219:AA221)</f>
        <v>0</v>
      </c>
      <c r="AB222" s="131"/>
      <c r="AC222" s="130">
        <f>SUM(AC219:AC221)</f>
        <v>0</v>
      </c>
      <c r="AD222" s="130">
        <f>SUM(AD219:AD221)</f>
        <v>0</v>
      </c>
      <c r="AE222" s="131"/>
      <c r="AF222" s="130">
        <f>SUM(AF219:AF221)</f>
        <v>0</v>
      </c>
      <c r="AG222" s="153"/>
      <c r="AH222" s="154"/>
      <c r="AI222" s="120"/>
      <c r="AJ222" s="120"/>
      <c r="AK222" s="120"/>
      <c r="AZ222" s="74"/>
      <c r="BA222" s="74"/>
    </row>
    <row r="223" spans="1:53" ht="12.75" customHeight="1" x14ac:dyDescent="0.25">
      <c r="A223" s="4" t="s">
        <v>51</v>
      </c>
      <c r="B223" s="138"/>
      <c r="C223" s="70" t="s">
        <v>52</v>
      </c>
      <c r="D223" s="139"/>
      <c r="E223" s="140"/>
      <c r="F223" s="70" t="s">
        <v>52</v>
      </c>
      <c r="G223" s="139"/>
      <c r="H223" s="140"/>
      <c r="I223" s="70" t="s">
        <v>52</v>
      </c>
      <c r="J223" s="141"/>
      <c r="K223" s="407" t="str">
        <f>IF(AND(OR(H222&gt;0,J222&gt;0),AND(1&lt;=H218,H218&lt;=4),AND(1&lt;=J218,J218&lt;=4)),IF(H222&gt;J222,H218,IF(J222&gt;H222,J218,"")),"")</f>
        <v/>
      </c>
      <c r="L223" s="408"/>
      <c r="M223" s="408"/>
      <c r="N223" s="409"/>
      <c r="S223" s="120"/>
      <c r="T223" s="120"/>
      <c r="U223" s="142"/>
      <c r="V223" s="142"/>
      <c r="W223" s="4" t="s">
        <v>51</v>
      </c>
      <c r="X223" s="138"/>
      <c r="Y223" s="70" t="s">
        <v>52</v>
      </c>
      <c r="Z223" s="139"/>
      <c r="AA223" s="140"/>
      <c r="AB223" s="70" t="s">
        <v>52</v>
      </c>
      <c r="AC223" s="139"/>
      <c r="AD223" s="140"/>
      <c r="AE223" s="70" t="s">
        <v>52</v>
      </c>
      <c r="AF223" s="141"/>
      <c r="AG223" s="407" t="str">
        <f>IF(AND(OR(AD222&gt;0,AF222&gt;0),AND(1&lt;=AD218,AD218&lt;=4),AND(1&lt;=AF218,AF218&lt;=4)),IF(AD222&gt;AF222,AD218,IF(AF222&gt;AD222,AF218,"")),"")</f>
        <v/>
      </c>
      <c r="AH223" s="409"/>
      <c r="AI223" s="120"/>
      <c r="AJ223" s="120"/>
      <c r="AK223" s="120"/>
      <c r="AZ223" s="74"/>
      <c r="BA223" s="74"/>
    </row>
    <row r="224" spans="1:53" ht="12.75" customHeight="1" x14ac:dyDescent="0.25">
      <c r="A224" s="4" t="s">
        <v>135</v>
      </c>
      <c r="B224" s="138"/>
      <c r="C224" s="70" t="s">
        <v>52</v>
      </c>
      <c r="D224" s="139"/>
      <c r="E224" s="140"/>
      <c r="F224" s="70" t="s">
        <v>52</v>
      </c>
      <c r="G224" s="139"/>
      <c r="H224" s="140"/>
      <c r="I224" s="70" t="s">
        <v>52</v>
      </c>
      <c r="J224" s="141"/>
      <c r="K224" s="410"/>
      <c r="L224" s="411"/>
      <c r="M224" s="411"/>
      <c r="N224" s="412"/>
      <c r="S224" s="120"/>
      <c r="T224" s="120"/>
      <c r="U224" s="142"/>
      <c r="V224" s="142"/>
      <c r="W224" s="4" t="s">
        <v>135</v>
      </c>
      <c r="X224" s="138"/>
      <c r="Y224" s="70" t="s">
        <v>52</v>
      </c>
      <c r="Z224" s="139"/>
      <c r="AA224" s="140"/>
      <c r="AB224" s="70" t="s">
        <v>52</v>
      </c>
      <c r="AC224" s="139"/>
      <c r="AD224" s="140"/>
      <c r="AE224" s="70" t="s">
        <v>52</v>
      </c>
      <c r="AF224" s="141"/>
      <c r="AG224" s="410"/>
      <c r="AH224" s="412"/>
      <c r="AI224" s="120"/>
      <c r="AJ224" s="120"/>
      <c r="AK224" s="120"/>
      <c r="AZ224" s="74"/>
      <c r="BA224" s="74"/>
    </row>
    <row r="225" spans="1:80" ht="13.5" customHeight="1" thickBot="1" x14ac:dyDescent="0.3">
      <c r="A225" s="4" t="s">
        <v>136</v>
      </c>
      <c r="B225" s="143"/>
      <c r="C225" s="144" t="s">
        <v>52</v>
      </c>
      <c r="D225" s="145"/>
      <c r="E225" s="146"/>
      <c r="F225" s="144" t="s">
        <v>52</v>
      </c>
      <c r="G225" s="145"/>
      <c r="H225" s="146"/>
      <c r="I225" s="144" t="s">
        <v>52</v>
      </c>
      <c r="J225" s="147"/>
      <c r="K225" s="413"/>
      <c r="L225" s="414"/>
      <c r="M225" s="414"/>
      <c r="N225" s="415"/>
      <c r="S225" s="120"/>
      <c r="T225" s="120"/>
      <c r="U225" s="142"/>
      <c r="V225" s="142"/>
      <c r="W225" s="4" t="s">
        <v>136</v>
      </c>
      <c r="X225" s="143"/>
      <c r="Y225" s="144" t="s">
        <v>52</v>
      </c>
      <c r="Z225" s="145"/>
      <c r="AA225" s="146"/>
      <c r="AB225" s="144" t="s">
        <v>52</v>
      </c>
      <c r="AC225" s="145"/>
      <c r="AD225" s="146"/>
      <c r="AE225" s="144" t="s">
        <v>52</v>
      </c>
      <c r="AF225" s="147"/>
      <c r="AG225" s="413"/>
      <c r="AH225" s="415"/>
      <c r="AI225" s="120"/>
      <c r="AJ225" s="120"/>
      <c r="AK225" s="120"/>
      <c r="AZ225" s="74"/>
      <c r="BA225" s="74"/>
    </row>
    <row r="226" spans="1:80" hidden="1" x14ac:dyDescent="0.25">
      <c r="B226" s="3"/>
      <c r="C226" s="148" t="s">
        <v>86</v>
      </c>
      <c r="D226" s="3" t="s">
        <v>137</v>
      </c>
      <c r="E226" s="3"/>
      <c r="F226" s="148"/>
      <c r="G226" t="s">
        <v>138</v>
      </c>
      <c r="J226" t="s">
        <v>139</v>
      </c>
      <c r="X226" s="3"/>
      <c r="Y226" s="148" t="s">
        <v>86</v>
      </c>
      <c r="Z226" s="3" t="s">
        <v>137</v>
      </c>
      <c r="AA226" s="3"/>
      <c r="AB226" s="148"/>
      <c r="AC226" t="s">
        <v>138</v>
      </c>
      <c r="AF226" t="s">
        <v>139</v>
      </c>
      <c r="AT226" t="str">
        <f>B227</f>
        <v>Intense Kids power Gvl</v>
      </c>
      <c r="AU226">
        <f>J227</f>
        <v>1356.6128999687164</v>
      </c>
      <c r="AW226" s="149"/>
      <c r="AX226" s="74"/>
      <c r="AY226" s="74"/>
      <c r="AZ226" s="74"/>
      <c r="BA226" s="74"/>
      <c r="BB226" s="149"/>
      <c r="BC226" s="74"/>
      <c r="BD226" s="74"/>
      <c r="BE226" s="149"/>
      <c r="BF226" s="74"/>
      <c r="BG226" s="74"/>
      <c r="BH226" s="149"/>
      <c r="BI226" s="74"/>
      <c r="BJ226" s="74"/>
      <c r="BK226" s="149"/>
      <c r="BL226" s="74"/>
      <c r="BM226" s="74"/>
      <c r="BN226" s="149"/>
      <c r="BO226" s="74"/>
      <c r="BP226" s="74"/>
      <c r="BQ226" s="149"/>
      <c r="BR226" s="74"/>
      <c r="BS226" s="74"/>
      <c r="BT226" s="149"/>
      <c r="BU226" s="74"/>
      <c r="BV226" s="74"/>
      <c r="BW226" s="149"/>
      <c r="BX226" s="74"/>
      <c r="BY226" s="74"/>
      <c r="BZ226" s="149"/>
      <c r="CA226" s="74"/>
      <c r="CB226" s="74"/>
    </row>
    <row r="227" spans="1:80" hidden="1" x14ac:dyDescent="0.25">
      <c r="A227">
        <v>1</v>
      </c>
      <c r="B227" t="str">
        <f>B210</f>
        <v>Intense Kids power Gvl</v>
      </c>
      <c r="C227">
        <f>VLOOKUP(B227,AU$2:AY$10,4,FALSE)</f>
        <v>1356.6128999687164</v>
      </c>
      <c r="D227">
        <f>IF(A227=B218,B233,IF(A227=D218,D233,C227))</f>
        <v>1356.6128999687164</v>
      </c>
      <c r="G227">
        <f>IF(A227=E218,E233,IF(A227=G218,G233,D227))</f>
        <v>1356.6128999687164</v>
      </c>
      <c r="J227">
        <f>IF(A227=H218,H233,IF(A227=J218,J233,G227))</f>
        <v>1356.6128999687164</v>
      </c>
      <c r="V227" s="150"/>
      <c r="W227" s="150">
        <v>1</v>
      </c>
      <c r="X227" t="str">
        <f>Y210</f>
        <v>SC Midlands KP Black</v>
      </c>
      <c r="Y227">
        <f>VLOOKUP(X227,AU$2:AY$10,4,FALSE)</f>
        <v>1231.2021750002928</v>
      </c>
      <c r="Z227">
        <f>IF(AND(W227=X218,ISNUMBER(X218)),X233,IF(AND(W227=Z218,ISNUMBER(Z218)),Z233,Y227))</f>
        <v>1231.2021750002928</v>
      </c>
      <c r="AC227">
        <f>IF(W227=AA218,AA233,IF(W227=AC218,AC233,Z227))</f>
        <v>1231.2021750002928</v>
      </c>
      <c r="AF227">
        <f>IF(W227=AD218,AD233,IF(W227=AF218,AF233,AC227))</f>
        <v>1231.2021750002928</v>
      </c>
      <c r="AT227" t="str">
        <f>B228</f>
        <v>SC Midlands KP Silver</v>
      </c>
      <c r="AU227">
        <f>J228</f>
        <v>1212.8166633917963</v>
      </c>
      <c r="AW227" s="149"/>
      <c r="AX227" s="74"/>
      <c r="AY227" s="74"/>
      <c r="AZ227" s="74"/>
      <c r="BA227" s="74"/>
      <c r="BB227" s="149"/>
      <c r="BC227" s="74"/>
      <c r="BD227" s="74"/>
      <c r="BE227" s="149"/>
      <c r="BF227" s="74"/>
      <c r="BG227" s="74"/>
      <c r="BH227" s="149"/>
      <c r="BI227" s="74"/>
      <c r="BJ227" s="74"/>
      <c r="BK227" s="149"/>
      <c r="BL227" s="74"/>
      <c r="BM227" s="74"/>
      <c r="BN227" s="149"/>
      <c r="BO227" s="74"/>
      <c r="BP227" s="74"/>
      <c r="BQ227" s="149"/>
      <c r="BR227" s="74"/>
      <c r="BS227" s="74"/>
      <c r="BT227" s="149"/>
      <c r="BU227" s="74"/>
      <c r="BV227" s="74"/>
      <c r="BW227" s="149"/>
      <c r="BX227" s="74"/>
      <c r="BY227" s="74"/>
      <c r="BZ227" s="149"/>
      <c r="CA227" s="74"/>
      <c r="CB227" s="74"/>
    </row>
    <row r="228" spans="1:80" hidden="1" x14ac:dyDescent="0.25">
      <c r="A228">
        <v>2</v>
      </c>
      <c r="B228" t="str">
        <f>B211</f>
        <v>SC Midlands KP Silver</v>
      </c>
      <c r="C228">
        <f>VLOOKUP(B228,AU$2:AY$10,4,FALSE)</f>
        <v>1212.8166633917963</v>
      </c>
      <c r="D228">
        <f>IF(A228=B218,B233,IF(A228=D218,D233,C228))</f>
        <v>1212.8166633917963</v>
      </c>
      <c r="G228">
        <f>IF(A228=E218,E233,IF(A228=G218,G233,D228))</f>
        <v>1212.8166633917963</v>
      </c>
      <c r="J228">
        <f>IF(A228=H218,H233,IF(A228=J218,J233,G228))</f>
        <v>1212.8166633917963</v>
      </c>
      <c r="V228" s="150"/>
      <c r="W228" s="150">
        <v>2</v>
      </c>
      <c r="X228" t="str">
        <f>Y211</f>
        <v>Columbia SC Starlings 12</v>
      </c>
      <c r="Y228">
        <f>VLOOKUP(X228,AU$2:AY$10,4,FALSE)</f>
        <v>1122.7337390858468</v>
      </c>
      <c r="Z228">
        <f>IF(W228=X218,X233,IF(W228=Z218,Z233,Y228))</f>
        <v>1122.7337390858468</v>
      </c>
      <c r="AC228">
        <f>IF(W228=AA218,AA233,IF(W228=AC218,AC233,Z228))</f>
        <v>1122.7337390858468</v>
      </c>
      <c r="AF228">
        <f>IF(W228=AD218,AD233,IF(W228=AF218,AF233,AC228))</f>
        <v>1122.7337390858468</v>
      </c>
      <c r="AT228" t="str">
        <f>B229</f>
        <v>SC Midlands KP Garnet</v>
      </c>
      <c r="AU228">
        <f>J229</f>
        <v>1255.6657067714395</v>
      </c>
      <c r="AW228" s="149"/>
      <c r="AX228" s="74"/>
      <c r="AY228" s="74"/>
      <c r="AZ228" s="74"/>
      <c r="BA228" s="74"/>
      <c r="BB228" s="149"/>
      <c r="BC228" s="74"/>
      <c r="BD228" s="74"/>
      <c r="BE228" s="149"/>
      <c r="BF228" s="74"/>
      <c r="BG228" s="74"/>
      <c r="BH228" s="149"/>
      <c r="BI228" s="74"/>
      <c r="BJ228" s="74"/>
      <c r="BK228" s="149"/>
      <c r="BL228" s="74"/>
      <c r="BM228" s="74"/>
      <c r="BN228" s="149"/>
      <c r="BO228" s="74"/>
      <c r="BP228" s="74"/>
      <c r="BQ228" s="149"/>
      <c r="BR228" s="74"/>
      <c r="BS228" s="74"/>
      <c r="BT228" s="149"/>
      <c r="BU228" s="74"/>
      <c r="BV228" s="74"/>
      <c r="BW228" s="149"/>
      <c r="BX228" s="74"/>
      <c r="BY228" s="74"/>
      <c r="BZ228" s="149"/>
      <c r="CA228" s="74"/>
      <c r="CB228" s="74"/>
    </row>
    <row r="229" spans="1:80" hidden="1" x14ac:dyDescent="0.25">
      <c r="A229">
        <v>3</v>
      </c>
      <c r="B229" t="str">
        <f>B212</f>
        <v>SC Midlands KP Garnet</v>
      </c>
      <c r="C229">
        <f>VLOOKUP(B229,AU$2:AY$10,4,FALSE)</f>
        <v>1255.6657067714395</v>
      </c>
      <c r="D229">
        <f>IF(A229=B218,B233,IF(A229=D218,D233,C229))</f>
        <v>1255.6657067714395</v>
      </c>
      <c r="G229">
        <f>IF(A229=E218,E233,IF(A229=G218,G233,D229))</f>
        <v>1255.6657067714395</v>
      </c>
      <c r="J229">
        <f>IF(A229=H218,H233,IF(A229=J218,J233,G229))</f>
        <v>1255.6657067714395</v>
      </c>
      <c r="V229" s="150"/>
      <c r="W229" s="150">
        <v>3</v>
      </c>
      <c r="X229" t="str">
        <f>Y212</f>
        <v>Kershaw Dev 12 Black</v>
      </c>
      <c r="Y229">
        <f>VLOOKUP(X229,AU$2:AY$10,4,FALSE)</f>
        <v>1195.1177582489661</v>
      </c>
      <c r="Z229">
        <f>IF(W229=X218,X233,IF(W229=Z218,Z233,Y229))</f>
        <v>1195.1177582489661</v>
      </c>
      <c r="AC229">
        <f>IF(W229=AA218,AA233,IF(W229=AC218,AC233,Z229))</f>
        <v>1195.1177582489661</v>
      </c>
      <c r="AF229">
        <f>IF(W229=AD218,AD233,IF(W229=AF218,AF233,AC229))</f>
        <v>1195.1177582489661</v>
      </c>
      <c r="AT229" t="str">
        <f>B230</f>
        <v>Foothills Skylar</v>
      </c>
      <c r="AU229">
        <f>J230</f>
        <v>1155.1234725451829</v>
      </c>
      <c r="AW229" s="149"/>
      <c r="AX229" s="74"/>
      <c r="AY229" s="74"/>
      <c r="AZ229" s="74"/>
      <c r="BA229" s="74"/>
      <c r="BB229" s="149"/>
      <c r="BC229" s="74"/>
      <c r="BD229" s="74"/>
      <c r="BE229" s="149"/>
      <c r="BF229" s="74"/>
      <c r="BG229" s="74"/>
      <c r="BH229" s="149"/>
      <c r="BI229" s="74"/>
      <c r="BJ229" s="74"/>
      <c r="BK229" s="149"/>
      <c r="BL229" s="74"/>
      <c r="BM229" s="74"/>
      <c r="BN229" s="149"/>
      <c r="BO229" s="74"/>
      <c r="BP229" s="74"/>
      <c r="BQ229" s="149"/>
      <c r="BR229" s="74"/>
      <c r="BS229" s="74"/>
      <c r="BT229" s="149"/>
      <c r="BU229" s="74"/>
      <c r="BV229" s="74"/>
      <c r="BW229" s="149"/>
      <c r="BX229" s="74"/>
      <c r="BY229" s="74"/>
      <c r="BZ229" s="149"/>
      <c r="CA229" s="74"/>
      <c r="CB229" s="74"/>
    </row>
    <row r="230" spans="1:80" hidden="1" x14ac:dyDescent="0.25">
      <c r="A230">
        <v>4</v>
      </c>
      <c r="B230" t="str">
        <f>B213</f>
        <v>Foothills Skylar</v>
      </c>
      <c r="C230">
        <f>VLOOKUP(B230,AU$2:AY$10,4,FALSE)</f>
        <v>1155.1234725451829</v>
      </c>
      <c r="D230">
        <f>IF(A230=B218,B233,IF(A230=D218,D233,C230))</f>
        <v>1155.1234725451829</v>
      </c>
      <c r="G230">
        <f>IF(A230=E218,E233,IF(A230=G218,G233,D230))</f>
        <v>1155.1234725451829</v>
      </c>
      <c r="J230">
        <f>IF(A230=H218,H233,IF(A230=J218,J233,G230))</f>
        <v>1155.1234725451829</v>
      </c>
      <c r="V230" s="150"/>
      <c r="W230" s="150">
        <v>4</v>
      </c>
      <c r="X230" t="str">
        <f>Y213</f>
        <v>BYE</v>
      </c>
      <c r="Y230" t="e">
        <f>VLOOKUP(X230,AU$2:AY$10,4,FALSE)</f>
        <v>#N/A</v>
      </c>
      <c r="Z230" t="e">
        <f>IF(W230=X218,X233,IF(W230=Z218,Z233,Y230))</f>
        <v>#N/A</v>
      </c>
      <c r="AC230" t="e">
        <f>IF(W230=AA218,AA233,IF(W230=AC218,AC233,Z230))</f>
        <v>#N/A</v>
      </c>
      <c r="AF230" t="e">
        <f>IF(W230=AD218,AD233,IF(W230=AF218,AF233,AC230))</f>
        <v>#N/A</v>
      </c>
      <c r="AT230" t="str">
        <f>X227</f>
        <v>SC Midlands KP Black</v>
      </c>
      <c r="AU230">
        <f>AF227</f>
        <v>1231.2021750002928</v>
      </c>
      <c r="AW230" s="149"/>
      <c r="AX230" s="74"/>
      <c r="AY230" s="74"/>
      <c r="AZ230" s="74"/>
      <c r="BA230" s="74"/>
      <c r="BB230" s="149"/>
      <c r="BC230" s="74"/>
      <c r="BD230" s="74"/>
      <c r="BE230" s="149"/>
      <c r="BF230" s="74"/>
      <c r="BG230" s="74"/>
      <c r="BH230" s="149"/>
      <c r="BI230" s="74"/>
      <c r="BJ230" s="74"/>
      <c r="BK230" s="149"/>
      <c r="BL230" s="74"/>
      <c r="BM230" s="74"/>
      <c r="BN230" s="149"/>
      <c r="BO230" s="74"/>
      <c r="BP230" s="74"/>
      <c r="BQ230" s="149"/>
      <c r="BR230" s="74"/>
      <c r="BS230" s="74"/>
      <c r="BT230" s="149"/>
      <c r="BU230" s="74"/>
      <c r="BV230" s="74"/>
      <c r="BW230" s="149"/>
      <c r="BX230" s="74"/>
      <c r="BY230" s="74"/>
      <c r="BZ230" s="149"/>
      <c r="CA230" s="74"/>
      <c r="CB230" s="74"/>
    </row>
    <row r="231" spans="1:80" hidden="1" x14ac:dyDescent="0.25">
      <c r="A231" t="s">
        <v>88</v>
      </c>
      <c r="B231">
        <f>VLOOKUP(B218,$A227:$J230,3,FALSE)</f>
        <v>1356.6128999687164</v>
      </c>
      <c r="D231">
        <f>VLOOKUP(D218,$A227:$J230,3,FALSE)</f>
        <v>1155.1234725451829</v>
      </c>
      <c r="E231">
        <f>VLOOKUP(E218,$A227:$J230,4,FALSE)</f>
        <v>1212.8166633917963</v>
      </c>
      <c r="G231">
        <f>VLOOKUP(G218,$A227:$J230,4,FALSE)</f>
        <v>1255.6657067714395</v>
      </c>
      <c r="H231" t="e">
        <f>VLOOKUP(H218,$A227:$J230,7,FALSE)</f>
        <v>#N/A</v>
      </c>
      <c r="J231" t="e">
        <f>VLOOKUP(J218,$A227:$J230,7,FALSE)</f>
        <v>#N/A</v>
      </c>
      <c r="U231" s="416" t="s">
        <v>88</v>
      </c>
      <c r="V231" s="416"/>
      <c r="W231" s="416"/>
      <c r="X231">
        <f>VLOOKUP(X218,$W227:$AF230,3,FALSE)</f>
        <v>1231.2021750002928</v>
      </c>
      <c r="Z231" t="e">
        <f>VLOOKUP(Z218,$W227:$AF230,3,FALSE)</f>
        <v>#N/A</v>
      </c>
      <c r="AA231">
        <f>VLOOKUP(AA218,$W227:$AF230,4,FALSE)</f>
        <v>1122.7337390858468</v>
      </c>
      <c r="AC231">
        <f>VLOOKUP(AC218,$W227:$AF230,4,FALSE)</f>
        <v>1195.1177582489661</v>
      </c>
      <c r="AD231">
        <f>VLOOKUP(AD218,$W227:$AF230,7,FALSE)</f>
        <v>1231.2021750002928</v>
      </c>
      <c r="AF231" t="e">
        <f>VLOOKUP(AF218,$W227:$AF230,7,FALSE)</f>
        <v>#N/A</v>
      </c>
      <c r="AT231" t="str">
        <f>X228</f>
        <v>Columbia SC Starlings 12</v>
      </c>
      <c r="AU231">
        <f>AF228</f>
        <v>1122.7337390858468</v>
      </c>
      <c r="AW231" s="149"/>
      <c r="AX231" s="74"/>
      <c r="AY231" s="74"/>
      <c r="AZ231" s="74"/>
      <c r="BA231" s="74"/>
      <c r="BB231" s="149"/>
      <c r="BC231" s="74"/>
      <c r="BD231" s="74"/>
      <c r="BE231" s="149"/>
      <c r="BF231" s="74"/>
      <c r="BG231" s="74"/>
      <c r="BH231" s="149"/>
      <c r="BI231" s="74"/>
      <c r="BJ231" s="74"/>
      <c r="BK231" s="149"/>
      <c r="BL231" s="74"/>
      <c r="BM231" s="74"/>
      <c r="BN231" s="149"/>
      <c r="BO231" s="74"/>
      <c r="BP231" s="74"/>
      <c r="BQ231" s="149"/>
      <c r="BR231" s="74"/>
      <c r="BS231" s="74"/>
      <c r="BT231" s="149"/>
      <c r="BU231" s="74"/>
      <c r="BV231" s="74"/>
      <c r="BW231" s="149"/>
      <c r="BX231" s="74"/>
      <c r="BY231" s="74"/>
      <c r="BZ231" s="149"/>
      <c r="CA231" s="74"/>
      <c r="CB231" s="74"/>
    </row>
    <row r="232" spans="1:80" hidden="1" x14ac:dyDescent="0.25">
      <c r="A232" s="88" t="s">
        <v>89</v>
      </c>
      <c r="B232" s="88">
        <f>IF(OR(B222&gt;0,D222&gt;0),1/(1+(10^-((B231-D231)/400)))*(B222+D222),0)</f>
        <v>0</v>
      </c>
      <c r="C232" s="88"/>
      <c r="D232" s="88">
        <f>IF(OR(B222&gt;0,D222&gt;0),1/(1+(10^-((D231-B231)/400)))*(B222+D222),0)</f>
        <v>0</v>
      </c>
      <c r="E232" s="88">
        <f>IF(OR(E222&gt;0,G222&gt;0),1/(1+(10^-((E231-G231)/400)))*(E222+G222),0)</f>
        <v>0</v>
      </c>
      <c r="F232" s="88"/>
      <c r="G232" s="88">
        <f>IF(OR(E222&gt;0,G222&gt;0),1/(1+(10^-((G231-E231)/400)))*(E222+G222),0)</f>
        <v>0</v>
      </c>
      <c r="H232" s="88">
        <f>IF(OR(H222&gt;0,J222&gt;0),1/(1+(10^-((H231-J231)/400)))*(H222+J222),0)</f>
        <v>0</v>
      </c>
      <c r="I232" s="88"/>
      <c r="J232" s="88">
        <f>IF(OR(H222&gt;0,J222&gt;0),1/(1+(10^-((J231-H231)/400)))*(H222+J222),0)</f>
        <v>0</v>
      </c>
      <c r="K232" s="88"/>
      <c r="U232" s="417" t="s">
        <v>89</v>
      </c>
      <c r="V232" s="417"/>
      <c r="W232" s="417"/>
      <c r="X232" s="88">
        <f>IF(OR(X222&gt;0,Z222&gt;0),1/(1+(10^-((X231-Z231)/400)))*(X222+Z222),0)</f>
        <v>0</v>
      </c>
      <c r="Y232" s="88"/>
      <c r="Z232" s="88">
        <f>IF(OR(X222&gt;0,Z222&gt;0),1/(1+(10^-((Z231-X231)/400)))*(X222+Z222),0)</f>
        <v>0</v>
      </c>
      <c r="AA232" s="88">
        <f>IF(OR(AA222&gt;0,AC222&gt;0),1/(1+(10^-((AA231-AC231)/400)))*(AA222+AC222),0)</f>
        <v>0</v>
      </c>
      <c r="AB232" s="88"/>
      <c r="AC232" s="88">
        <f>IF(OR(AA222&gt;0,AC222&gt;0),1/(1+(10^-((AC231-AA231)/400)))*(AA222+AC222),0)</f>
        <v>0</v>
      </c>
      <c r="AD232" s="88">
        <f>IF(OR(AD222&gt;0,AF222&gt;0),1/(1+(10^-((AD231-AF231)/400)))*(AD222+AF222),0)</f>
        <v>0</v>
      </c>
      <c r="AE232" s="88"/>
      <c r="AF232" s="88">
        <f>IF(OR(AD222&gt;0,AF222&gt;0),1/(1+(10^-((AF231-AD231)/400)))*(AD222+AF222),0)</f>
        <v>0</v>
      </c>
      <c r="AT232" t="str">
        <f>X229</f>
        <v>Kershaw Dev 12 Black</v>
      </c>
      <c r="AU232">
        <f>AF229</f>
        <v>1195.1177582489661</v>
      </c>
      <c r="AW232" s="149"/>
      <c r="AX232" s="74"/>
      <c r="AY232" s="74"/>
      <c r="AZ232" s="74"/>
      <c r="BA232" s="74"/>
      <c r="BB232" s="149"/>
      <c r="BC232" s="74"/>
      <c r="BD232" s="74"/>
      <c r="BE232" s="149"/>
      <c r="BF232" s="74"/>
      <c r="BG232" s="74"/>
      <c r="BH232" s="149"/>
      <c r="BI232" s="74"/>
      <c r="BJ232" s="74"/>
      <c r="BK232" s="149"/>
      <c r="BL232" s="74"/>
      <c r="BM232" s="74"/>
      <c r="BN232" s="149"/>
      <c r="BO232" s="74"/>
      <c r="BP232" s="74"/>
      <c r="BQ232" s="149"/>
      <c r="BR232" s="74"/>
      <c r="BS232" s="74"/>
      <c r="BT232" s="149"/>
      <c r="BU232" s="74"/>
      <c r="BV232" s="74"/>
      <c r="BW232" s="149"/>
      <c r="BX232" s="74"/>
      <c r="BY232" s="74"/>
      <c r="BZ232" s="149"/>
      <c r="CA232" s="74"/>
      <c r="CB232" s="74"/>
    </row>
    <row r="233" spans="1:80" hidden="1" x14ac:dyDescent="0.25">
      <c r="A233" s="94" t="s">
        <v>90</v>
      </c>
      <c r="B233" s="94">
        <f>B231+(B222-B232)*$BA$2</f>
        <v>1356.6128999687164</v>
      </c>
      <c r="C233" s="94"/>
      <c r="D233" s="94">
        <f>D231+(D222-D232)*$BA$2</f>
        <v>1155.1234725451829</v>
      </c>
      <c r="E233" s="94">
        <f>E231+(E222-E232)*$BA$2</f>
        <v>1212.8166633917963</v>
      </c>
      <c r="G233" s="94">
        <f>G231+(G222-G232)*$BA$2</f>
        <v>1255.6657067714395</v>
      </c>
      <c r="H233" s="94" t="e">
        <f>H231+(H222-H232)*$BA$2</f>
        <v>#N/A</v>
      </c>
      <c r="J233" s="94" t="e">
        <f>J231+(J222-J232)*$BA$2</f>
        <v>#N/A</v>
      </c>
      <c r="K233" s="94"/>
      <c r="U233" s="405" t="s">
        <v>90</v>
      </c>
      <c r="V233" s="405"/>
      <c r="W233" s="405"/>
      <c r="X233" s="94">
        <f>X231+(X222-X232)*$BA$2</f>
        <v>1231.2021750002928</v>
      </c>
      <c r="Y233" s="94"/>
      <c r="Z233" s="94" t="e">
        <f>Z231+(Z222-Z232)*$BA$2</f>
        <v>#N/A</v>
      </c>
      <c r="AA233" s="94">
        <f>AA231+(AA222-AA232)*$BA$2</f>
        <v>1122.7337390858468</v>
      </c>
      <c r="AC233" s="94">
        <f>AC231+(AC222-AC232)*$BA$2</f>
        <v>1195.1177582489661</v>
      </c>
      <c r="AD233" s="94">
        <f>AD231+(AD222-AD232)*$BA$2</f>
        <v>1231.2021750002928</v>
      </c>
      <c r="AF233" s="94" t="e">
        <f>AF231+(AF222-AF232)*$BA$2</f>
        <v>#N/A</v>
      </c>
      <c r="AT233" t="str">
        <f>X230</f>
        <v>BYE</v>
      </c>
      <c r="AU233" t="e">
        <f>AF230</f>
        <v>#N/A</v>
      </c>
      <c r="AW233" s="149"/>
      <c r="AX233" s="74"/>
      <c r="AY233" s="74"/>
      <c r="AZ233" s="74"/>
      <c r="BA233" s="74"/>
      <c r="BB233" s="149"/>
      <c r="BC233" s="74"/>
      <c r="BD233" s="74"/>
      <c r="BE233" s="149"/>
      <c r="BF233" s="74"/>
      <c r="BG233" s="74"/>
      <c r="BH233" s="149"/>
      <c r="BI233" s="74"/>
      <c r="BJ233" s="74"/>
      <c r="BK233" s="149"/>
      <c r="BL233" s="74"/>
      <c r="BM233" s="74"/>
      <c r="BN233" s="149"/>
      <c r="BO233" s="74"/>
      <c r="BP233" s="74"/>
      <c r="BQ233" s="149"/>
      <c r="BR233" s="74"/>
      <c r="BS233" s="74"/>
      <c r="BT233" s="149"/>
      <c r="BU233" s="74"/>
      <c r="BV233" s="74"/>
      <c r="BW233" s="149"/>
      <c r="BX233" s="74"/>
      <c r="BY233" s="74"/>
      <c r="BZ233" s="149"/>
      <c r="CA233" s="74"/>
      <c r="CB233" s="74"/>
    </row>
    <row r="234" spans="1:80" x14ac:dyDescent="0.25">
      <c r="A234" s="406" t="s">
        <v>140</v>
      </c>
      <c r="B234" s="406"/>
      <c r="C234" s="406"/>
      <c r="D234" s="406"/>
      <c r="E234" s="406"/>
      <c r="F234" s="406"/>
      <c r="G234" s="406"/>
      <c r="H234" s="406"/>
      <c r="I234" s="406"/>
      <c r="J234" s="406"/>
      <c r="K234" s="406"/>
      <c r="L234" s="406"/>
      <c r="M234" s="406"/>
      <c r="N234" s="406"/>
      <c r="S234" s="120"/>
      <c r="T234" s="120"/>
      <c r="U234" s="142"/>
      <c r="V234" s="142"/>
      <c r="W234" s="406" t="s">
        <v>140</v>
      </c>
      <c r="X234" s="406"/>
      <c r="Y234" s="406"/>
      <c r="Z234" s="406"/>
      <c r="AA234" s="406"/>
      <c r="AB234" s="406"/>
      <c r="AC234" s="406"/>
      <c r="AD234" s="406"/>
      <c r="AE234" s="406"/>
      <c r="AF234" s="406"/>
      <c r="AG234" s="406"/>
      <c r="AH234" s="406"/>
      <c r="AI234" s="120"/>
      <c r="AJ234" s="120"/>
      <c r="AK234" s="120"/>
      <c r="AZ234" s="74"/>
      <c r="BA234" s="74"/>
    </row>
    <row r="235" spans="1:80" x14ac:dyDescent="0.25">
      <c r="AT235" s="74"/>
      <c r="AU235" s="74"/>
      <c r="AZ235" s="74"/>
      <c r="BA235" s="74"/>
    </row>
    <row r="236" spans="1:80" x14ac:dyDescent="0.25">
      <c r="AT236" s="74"/>
      <c r="AU236" s="74"/>
      <c r="AZ236" s="74"/>
      <c r="BA236" s="74"/>
    </row>
    <row r="237" spans="1:80" x14ac:dyDescent="0.25">
      <c r="AT237" s="74"/>
      <c r="AU237" s="74"/>
      <c r="AZ237" s="74"/>
      <c r="BA237" s="74"/>
    </row>
    <row r="238" spans="1:80" x14ac:dyDescent="0.25">
      <c r="AT238" s="74"/>
      <c r="AU238" s="74"/>
      <c r="AZ238" s="74"/>
      <c r="BA238" s="74"/>
    </row>
    <row r="239" spans="1:80" x14ac:dyDescent="0.25">
      <c r="AT239" s="74"/>
      <c r="AU239" s="74"/>
      <c r="AZ239" s="74"/>
      <c r="BA239" s="74"/>
    </row>
    <row r="240" spans="1:80" x14ac:dyDescent="0.25">
      <c r="AT240" s="74"/>
      <c r="AU240" s="74"/>
      <c r="AZ240" s="74"/>
      <c r="BA240" s="74"/>
    </row>
    <row r="241" spans="46:53" x14ac:dyDescent="0.25">
      <c r="AT241" s="74"/>
      <c r="AU241" s="74"/>
      <c r="AZ241" s="74"/>
      <c r="BA241" s="74"/>
    </row>
    <row r="242" spans="46:53" x14ac:dyDescent="0.25">
      <c r="AT242" s="74"/>
      <c r="AU242" s="74"/>
      <c r="AZ242" s="74"/>
      <c r="BA242" s="74"/>
    </row>
    <row r="243" spans="46:53" x14ac:dyDescent="0.25">
      <c r="AT243" s="74"/>
      <c r="AU243" s="74"/>
      <c r="AZ243" s="74"/>
      <c r="BA243" s="74"/>
    </row>
    <row r="244" spans="46:53" x14ac:dyDescent="0.25">
      <c r="AT244" s="74"/>
      <c r="AU244" s="74"/>
      <c r="AZ244" s="74"/>
      <c r="BA244" s="74"/>
    </row>
    <row r="245" spans="46:53" x14ac:dyDescent="0.25">
      <c r="AT245" s="74"/>
      <c r="AU245" s="74"/>
      <c r="AZ245" s="74"/>
      <c r="BA245" s="74"/>
    </row>
    <row r="246" spans="46:53" x14ac:dyDescent="0.25">
      <c r="AT246" s="74"/>
      <c r="AU246" s="74"/>
      <c r="AZ246" s="74"/>
      <c r="BA246" s="74"/>
    </row>
    <row r="247" spans="46:53" x14ac:dyDescent="0.25">
      <c r="AT247" s="74"/>
      <c r="AU247" s="74"/>
    </row>
    <row r="248" spans="46:53" x14ac:dyDescent="0.25">
      <c r="AT248" s="74"/>
      <c r="AU248" s="74"/>
      <c r="AZ248" s="81"/>
      <c r="BA248" s="81"/>
    </row>
    <row r="249" spans="46:53" x14ac:dyDescent="0.25">
      <c r="AT249" s="74"/>
      <c r="AU249" s="74"/>
      <c r="AZ249" s="81"/>
      <c r="BA249" s="81"/>
    </row>
    <row r="250" spans="46:53" x14ac:dyDescent="0.25">
      <c r="AT250" s="74"/>
      <c r="AU250" s="74"/>
      <c r="AZ250" s="81"/>
      <c r="BA250" s="81"/>
    </row>
    <row r="251" spans="46:53" x14ac:dyDescent="0.25">
      <c r="AT251" s="74"/>
      <c r="AU251" s="74"/>
      <c r="AZ251" s="81"/>
      <c r="BA251" s="81"/>
    </row>
    <row r="252" spans="46:53" x14ac:dyDescent="0.25">
      <c r="AT252" s="74"/>
      <c r="AU252" s="74"/>
      <c r="AZ252" s="81"/>
      <c r="BA252" s="81"/>
    </row>
    <row r="253" spans="46:53" x14ac:dyDescent="0.25">
      <c r="AT253" s="74"/>
      <c r="AU253" s="74"/>
      <c r="AZ253" s="81"/>
      <c r="BA253" s="81"/>
    </row>
    <row r="254" spans="46:53" x14ac:dyDescent="0.25">
      <c r="AT254" s="74"/>
      <c r="AU254" s="74"/>
      <c r="AZ254" s="81"/>
      <c r="BA254" s="81"/>
    </row>
    <row r="255" spans="46:53" x14ac:dyDescent="0.25">
      <c r="AT255" s="74"/>
      <c r="AU255" s="74"/>
      <c r="AZ255" s="81"/>
      <c r="BA255" s="81"/>
    </row>
    <row r="256" spans="46:53" x14ac:dyDescent="0.25">
      <c r="AT256" s="74"/>
      <c r="AU256" s="74"/>
      <c r="AZ256" s="91"/>
      <c r="BA256" s="91"/>
    </row>
    <row r="257" spans="46:53" x14ac:dyDescent="0.25">
      <c r="AT257" s="74"/>
      <c r="AU257" s="74"/>
      <c r="AZ257" s="97"/>
      <c r="BA257" s="97"/>
    </row>
    <row r="258" spans="46:53" x14ac:dyDescent="0.25">
      <c r="AT258" s="74"/>
      <c r="AU258" s="74"/>
      <c r="AZ258" s="97"/>
      <c r="BA258" s="97"/>
    </row>
    <row r="259" spans="46:53" x14ac:dyDescent="0.25">
      <c r="AT259" s="74"/>
      <c r="AU259" s="74"/>
      <c r="AZ259" s="81"/>
      <c r="BA259" s="81"/>
    </row>
    <row r="260" spans="46:53" x14ac:dyDescent="0.25">
      <c r="AT260" s="81"/>
      <c r="AU260" s="81"/>
      <c r="AZ260" s="81"/>
      <c r="BA260" s="81"/>
    </row>
    <row r="261" spans="46:53" x14ac:dyDescent="0.25">
      <c r="AT261" s="81"/>
      <c r="AU261" s="81"/>
    </row>
    <row r="286" spans="46:53" x14ac:dyDescent="0.25">
      <c r="AT286" s="74"/>
      <c r="AU286" s="74"/>
      <c r="AZ286" s="74"/>
      <c r="BA286" s="74"/>
    </row>
    <row r="287" spans="46:53" x14ac:dyDescent="0.25">
      <c r="AT287" s="74"/>
      <c r="AU287" s="74"/>
      <c r="AZ287" s="74"/>
      <c r="BA287" s="74"/>
    </row>
    <row r="288" spans="46:53" x14ac:dyDescent="0.25">
      <c r="AT288" s="74"/>
      <c r="AU288" s="74"/>
      <c r="AZ288" s="74"/>
      <c r="BA288" s="74"/>
    </row>
    <row r="289" spans="46:53" x14ac:dyDescent="0.25">
      <c r="AT289" s="74"/>
      <c r="AU289" s="74"/>
      <c r="AZ289" s="74"/>
      <c r="BA289" s="74"/>
    </row>
    <row r="290" spans="46:53" x14ac:dyDescent="0.25">
      <c r="AT290" s="74"/>
      <c r="AU290" s="74"/>
      <c r="AZ290" s="74"/>
      <c r="BA290" s="74"/>
    </row>
    <row r="291" spans="46:53" x14ac:dyDescent="0.25">
      <c r="AT291" s="74"/>
      <c r="AU291" s="74"/>
      <c r="AZ291" s="74"/>
      <c r="BA291" s="74"/>
    </row>
    <row r="292" spans="46:53" x14ac:dyDescent="0.25">
      <c r="AT292" s="74"/>
      <c r="AU292" s="74"/>
      <c r="AZ292" s="74"/>
      <c r="BA292" s="74"/>
    </row>
    <row r="293" spans="46:53" x14ac:dyDescent="0.25">
      <c r="AT293" s="74"/>
      <c r="AU293" s="74"/>
      <c r="AZ293" s="74"/>
      <c r="BA293" s="74"/>
    </row>
    <row r="294" spans="46:53" x14ac:dyDescent="0.25">
      <c r="AT294" s="74"/>
      <c r="AU294" s="74"/>
      <c r="AZ294" s="74"/>
      <c r="BA294" s="74"/>
    </row>
    <row r="295" spans="46:53" x14ac:dyDescent="0.25">
      <c r="AT295" s="74"/>
      <c r="AU295" s="74"/>
      <c r="AZ295" s="74"/>
      <c r="BA295" s="74"/>
    </row>
    <row r="296" spans="46:53" x14ac:dyDescent="0.25">
      <c r="AT296" s="74"/>
      <c r="AU296" s="74"/>
      <c r="AZ296" s="74"/>
      <c r="BA296" s="74"/>
    </row>
    <row r="297" spans="46:53" x14ac:dyDescent="0.25">
      <c r="AT297" s="74"/>
      <c r="AU297" s="74"/>
      <c r="AZ297" s="74"/>
      <c r="BA297" s="74"/>
    </row>
    <row r="298" spans="46:53" x14ac:dyDescent="0.25">
      <c r="AT298" s="74"/>
      <c r="AU298" s="74"/>
      <c r="AZ298" s="74"/>
      <c r="BA298" s="74"/>
    </row>
    <row r="299" spans="46:53" x14ac:dyDescent="0.25">
      <c r="AT299" s="74"/>
      <c r="AU299" s="74"/>
      <c r="AZ299" s="74"/>
      <c r="BA299" s="74"/>
    </row>
    <row r="300" spans="46:53" x14ac:dyDescent="0.25">
      <c r="AT300" s="74"/>
      <c r="AU300" s="74"/>
      <c r="AZ300" s="74"/>
      <c r="BA300" s="74"/>
    </row>
    <row r="301" spans="46:53" x14ac:dyDescent="0.25">
      <c r="AT301" s="74"/>
      <c r="AU301" s="74"/>
      <c r="AZ301" s="74"/>
      <c r="BA301" s="74"/>
    </row>
    <row r="302" spans="46:53" x14ac:dyDescent="0.25">
      <c r="AT302" s="74"/>
      <c r="AU302" s="74"/>
      <c r="AZ302" s="74"/>
      <c r="BA302" s="74"/>
    </row>
    <row r="303" spans="46:53" x14ac:dyDescent="0.25">
      <c r="AT303" s="74"/>
      <c r="AU303" s="74"/>
      <c r="AZ303" s="74"/>
      <c r="BA303" s="74"/>
    </row>
    <row r="304" spans="46:53" x14ac:dyDescent="0.25">
      <c r="AT304" s="74"/>
      <c r="AU304" s="74"/>
      <c r="AZ304" s="74"/>
      <c r="BA304" s="74"/>
    </row>
    <row r="305" spans="46:53" x14ac:dyDescent="0.25">
      <c r="AT305" s="74"/>
      <c r="AU305" s="74"/>
      <c r="AZ305" s="74"/>
      <c r="BA305" s="74"/>
    </row>
    <row r="306" spans="46:53" x14ac:dyDescent="0.25">
      <c r="AT306" s="74"/>
      <c r="AU306" s="74"/>
      <c r="AZ306" s="74"/>
      <c r="BA306" s="74"/>
    </row>
    <row r="307" spans="46:53" x14ac:dyDescent="0.25">
      <c r="AT307" s="74"/>
      <c r="AU307" s="74"/>
      <c r="AZ307" s="74"/>
      <c r="BA307" s="74"/>
    </row>
    <row r="308" spans="46:53" x14ac:dyDescent="0.25">
      <c r="AT308" s="74"/>
      <c r="AU308" s="74"/>
      <c r="AZ308" s="74"/>
      <c r="BA308" s="74"/>
    </row>
    <row r="309" spans="46:53" x14ac:dyDescent="0.25">
      <c r="AT309" s="74"/>
      <c r="AU309" s="74"/>
      <c r="AZ309" s="74"/>
      <c r="BA309" s="74"/>
    </row>
    <row r="310" spans="46:53" x14ac:dyDescent="0.25">
      <c r="AT310" s="74"/>
      <c r="AU310" s="74"/>
      <c r="AZ310" s="74"/>
      <c r="BA310" s="74"/>
    </row>
    <row r="311" spans="46:53" x14ac:dyDescent="0.25">
      <c r="AT311" s="74"/>
      <c r="AU311" s="74"/>
      <c r="AZ311" s="74"/>
      <c r="BA311" s="74"/>
    </row>
    <row r="312" spans="46:53" x14ac:dyDescent="0.25">
      <c r="AT312" s="74"/>
      <c r="AU312" s="74"/>
      <c r="AZ312" s="74"/>
      <c r="BA312" s="74"/>
    </row>
    <row r="313" spans="46:53" x14ac:dyDescent="0.25">
      <c r="AT313" s="74"/>
      <c r="AU313" s="74"/>
      <c r="AZ313" s="74"/>
      <c r="BA313" s="74"/>
    </row>
    <row r="314" spans="46:53" x14ac:dyDescent="0.25">
      <c r="AT314" s="74"/>
      <c r="AU314" s="74"/>
      <c r="AZ314" s="74"/>
      <c r="BA314" s="74"/>
    </row>
    <row r="315" spans="46:53" x14ac:dyDescent="0.25">
      <c r="AT315" s="74"/>
      <c r="AU315" s="74"/>
      <c r="AZ315" s="74"/>
      <c r="BA315" s="74"/>
    </row>
    <row r="316" spans="46:53" x14ac:dyDescent="0.25">
      <c r="AT316" s="74"/>
      <c r="AU316" s="74"/>
      <c r="AZ316" s="74"/>
      <c r="BA316" s="74"/>
    </row>
    <row r="317" spans="46:53" x14ac:dyDescent="0.25">
      <c r="AT317" s="74"/>
      <c r="AU317" s="74"/>
      <c r="AZ317" s="74"/>
      <c r="BA317" s="74"/>
    </row>
    <row r="318" spans="46:53" x14ac:dyDescent="0.25">
      <c r="AT318" s="74"/>
      <c r="AU318" s="74"/>
      <c r="AZ318" s="74"/>
      <c r="BA318" s="74"/>
    </row>
    <row r="319" spans="46:53" x14ac:dyDescent="0.25">
      <c r="AT319" s="74"/>
      <c r="AU319" s="74"/>
      <c r="AZ319" s="74"/>
      <c r="BA319" s="74"/>
    </row>
    <row r="320" spans="46:53" x14ac:dyDescent="0.25">
      <c r="AT320" s="74"/>
      <c r="AU320" s="74"/>
      <c r="AZ320" s="74"/>
      <c r="BA320" s="74"/>
    </row>
    <row r="321" spans="46:53" x14ac:dyDescent="0.25">
      <c r="AT321" s="74"/>
      <c r="AU321" s="74"/>
      <c r="AZ321" s="74"/>
      <c r="BA321" s="74"/>
    </row>
    <row r="322" spans="46:53" x14ac:dyDescent="0.25">
      <c r="AT322" s="74"/>
      <c r="AU322" s="74"/>
      <c r="AZ322" s="74"/>
      <c r="BA322" s="74"/>
    </row>
    <row r="323" spans="46:53" x14ac:dyDescent="0.25">
      <c r="AT323" s="74"/>
      <c r="AU323" s="74"/>
      <c r="AZ323" s="74"/>
      <c r="BA323" s="74"/>
    </row>
    <row r="324" spans="46:53" x14ac:dyDescent="0.25">
      <c r="AT324" s="74"/>
      <c r="AU324" s="74"/>
      <c r="AZ324" s="74"/>
      <c r="BA324" s="74"/>
    </row>
    <row r="325" spans="46:53" x14ac:dyDescent="0.25">
      <c r="AT325" s="74"/>
      <c r="AU325" s="74"/>
      <c r="AZ325" s="74"/>
      <c r="BA325" s="74"/>
    </row>
    <row r="326" spans="46:53" x14ac:dyDescent="0.25">
      <c r="AT326" s="74"/>
      <c r="AU326" s="74"/>
      <c r="AZ326" s="74"/>
      <c r="BA326" s="74"/>
    </row>
    <row r="327" spans="46:53" x14ac:dyDescent="0.25">
      <c r="AT327" s="74"/>
      <c r="AU327" s="74"/>
      <c r="AZ327" s="74"/>
      <c r="BA327" s="74"/>
    </row>
    <row r="328" spans="46:53" x14ac:dyDescent="0.25">
      <c r="AT328" s="74"/>
      <c r="AU328" s="74"/>
      <c r="AZ328" s="74"/>
      <c r="BA328" s="74"/>
    </row>
    <row r="329" spans="46:53" x14ac:dyDescent="0.25">
      <c r="AT329" s="74"/>
      <c r="AU329" s="74"/>
      <c r="AZ329" s="74"/>
      <c r="BA329" s="74"/>
    </row>
    <row r="330" spans="46:53" x14ac:dyDescent="0.25">
      <c r="AT330" s="74"/>
      <c r="AU330" s="74"/>
      <c r="AZ330" s="74"/>
      <c r="BA330" s="74"/>
    </row>
    <row r="331" spans="46:53" x14ac:dyDescent="0.25">
      <c r="AT331" s="74"/>
      <c r="AU331" s="74"/>
      <c r="AZ331" s="74"/>
      <c r="BA331" s="74"/>
    </row>
    <row r="332" spans="46:53" x14ac:dyDescent="0.25">
      <c r="AT332" s="81"/>
      <c r="AU332" s="81"/>
    </row>
    <row r="333" spans="46:53" x14ac:dyDescent="0.25">
      <c r="AT333" s="81"/>
      <c r="AU333" s="81"/>
      <c r="AZ333" s="81"/>
      <c r="BA333" s="81"/>
    </row>
    <row r="334" spans="46:53" x14ac:dyDescent="0.25">
      <c r="AZ334" s="81"/>
      <c r="BA334" s="81"/>
    </row>
    <row r="335" spans="46:53" x14ac:dyDescent="0.25">
      <c r="AZ335" s="81"/>
      <c r="BA335" s="81"/>
    </row>
    <row r="336" spans="46:53" x14ac:dyDescent="0.25">
      <c r="AZ336" s="81"/>
      <c r="BA336" s="81"/>
    </row>
    <row r="337" spans="46:53" x14ac:dyDescent="0.25">
      <c r="AZ337" s="81"/>
      <c r="BA337" s="81"/>
    </row>
    <row r="338" spans="46:53" x14ac:dyDescent="0.25">
      <c r="AZ338" s="81"/>
      <c r="BA338" s="81"/>
    </row>
    <row r="339" spans="46:53" x14ac:dyDescent="0.25">
      <c r="AZ339" s="81"/>
      <c r="BA339" s="81"/>
    </row>
    <row r="340" spans="46:53" x14ac:dyDescent="0.25">
      <c r="AZ340" s="81"/>
      <c r="BA340" s="81"/>
    </row>
    <row r="341" spans="46:53" x14ac:dyDescent="0.25">
      <c r="AZ341" s="91"/>
      <c r="BA341" s="91"/>
    </row>
    <row r="342" spans="46:53" x14ac:dyDescent="0.25">
      <c r="AZ342" s="97"/>
      <c r="BA342" s="97"/>
    </row>
    <row r="343" spans="46:53" x14ac:dyDescent="0.25">
      <c r="AZ343" s="97"/>
      <c r="BA343" s="97"/>
    </row>
    <row r="344" spans="46:53" x14ac:dyDescent="0.25">
      <c r="AZ344" s="81"/>
      <c r="BA344" s="81"/>
    </row>
    <row r="345" spans="46:53" x14ac:dyDescent="0.25">
      <c r="AZ345" s="81"/>
      <c r="BA345" s="81"/>
    </row>
    <row r="348" spans="46:53" x14ac:dyDescent="0.25">
      <c r="AT348" s="113"/>
    </row>
    <row r="371" spans="46:53" x14ac:dyDescent="0.25">
      <c r="AZ371" s="74"/>
      <c r="BA371" s="74"/>
    </row>
    <row r="372" spans="46:53" x14ac:dyDescent="0.25">
      <c r="AZ372" s="74"/>
      <c r="BA372" s="74"/>
    </row>
    <row r="373" spans="46:53" x14ac:dyDescent="0.25">
      <c r="AZ373" s="74"/>
      <c r="BA373" s="74"/>
    </row>
    <row r="374" spans="46:53" x14ac:dyDescent="0.25">
      <c r="AZ374" s="74"/>
      <c r="BA374" s="74"/>
    </row>
    <row r="375" spans="46:53" x14ac:dyDescent="0.25">
      <c r="AZ375" s="74"/>
      <c r="BA375" s="74"/>
    </row>
    <row r="376" spans="46:53" x14ac:dyDescent="0.25">
      <c r="AZ376" s="74"/>
      <c r="BA376" s="74"/>
    </row>
    <row r="377" spans="46:53" x14ac:dyDescent="0.25">
      <c r="AZ377" s="74"/>
      <c r="BA377" s="74"/>
    </row>
    <row r="378" spans="46:53" x14ac:dyDescent="0.25">
      <c r="AZ378" s="74"/>
      <c r="BA378" s="74"/>
    </row>
    <row r="379" spans="46:53" x14ac:dyDescent="0.25">
      <c r="AZ379" s="74"/>
      <c r="BA379" s="74"/>
    </row>
    <row r="380" spans="46:53" x14ac:dyDescent="0.25">
      <c r="AZ380" s="74"/>
      <c r="BA380" s="74"/>
    </row>
    <row r="381" spans="46:53" x14ac:dyDescent="0.25">
      <c r="AZ381" s="74"/>
      <c r="BA381" s="74"/>
    </row>
    <row r="382" spans="46:53" x14ac:dyDescent="0.25">
      <c r="AZ382" s="74"/>
      <c r="BA382" s="74"/>
    </row>
    <row r="383" spans="46:53" x14ac:dyDescent="0.25">
      <c r="AZ383" s="74"/>
      <c r="BA383" s="74"/>
    </row>
    <row r="384" spans="46:53" x14ac:dyDescent="0.25">
      <c r="AT384" s="113"/>
      <c r="AZ384" s="74"/>
      <c r="BA384" s="74"/>
    </row>
    <row r="385" spans="52:53" x14ac:dyDescent="0.25">
      <c r="AZ385" s="74"/>
      <c r="BA385" s="74"/>
    </row>
    <row r="386" spans="52:53" x14ac:dyDescent="0.25">
      <c r="AZ386" s="74"/>
      <c r="BA386" s="74"/>
    </row>
    <row r="387" spans="52:53" x14ac:dyDescent="0.25">
      <c r="AZ387" s="74"/>
      <c r="BA387" s="74"/>
    </row>
    <row r="388" spans="52:53" x14ac:dyDescent="0.25">
      <c r="AZ388" s="74"/>
      <c r="BA388" s="74"/>
    </row>
    <row r="389" spans="52:53" x14ac:dyDescent="0.25">
      <c r="AZ389" s="74"/>
      <c r="BA389" s="74"/>
    </row>
    <row r="390" spans="52:53" x14ac:dyDescent="0.25">
      <c r="AZ390" s="74"/>
      <c r="BA390" s="74"/>
    </row>
    <row r="391" spans="52:53" x14ac:dyDescent="0.25">
      <c r="AZ391" s="74"/>
      <c r="BA391" s="74"/>
    </row>
    <row r="392" spans="52:53" x14ac:dyDescent="0.25">
      <c r="AZ392" s="74"/>
      <c r="BA392" s="74"/>
    </row>
    <row r="393" spans="52:53" x14ac:dyDescent="0.25">
      <c r="AZ393" s="74"/>
      <c r="BA393" s="74"/>
    </row>
    <row r="394" spans="52:53" x14ac:dyDescent="0.25">
      <c r="AZ394" s="74"/>
      <c r="BA394" s="74"/>
    </row>
    <row r="395" spans="52:53" x14ac:dyDescent="0.25">
      <c r="AZ395" s="74"/>
      <c r="BA395" s="74"/>
    </row>
    <row r="396" spans="52:53" x14ac:dyDescent="0.25">
      <c r="AZ396" s="74"/>
      <c r="BA396" s="74"/>
    </row>
    <row r="397" spans="52:53" x14ac:dyDescent="0.25">
      <c r="AZ397" s="74"/>
      <c r="BA397" s="74"/>
    </row>
    <row r="398" spans="52:53" x14ac:dyDescent="0.25">
      <c r="AZ398" s="74"/>
      <c r="BA398" s="74"/>
    </row>
    <row r="399" spans="52:53" x14ac:dyDescent="0.25">
      <c r="AZ399" s="74"/>
      <c r="BA399" s="74"/>
    </row>
    <row r="400" spans="52:53" x14ac:dyDescent="0.25">
      <c r="AZ400" s="74"/>
      <c r="BA400" s="74"/>
    </row>
    <row r="401" spans="52:53" x14ac:dyDescent="0.25">
      <c r="AZ401" s="74"/>
      <c r="BA401" s="74"/>
    </row>
    <row r="402" spans="52:53" x14ac:dyDescent="0.25">
      <c r="AZ402" s="74"/>
      <c r="BA402" s="74"/>
    </row>
    <row r="403" spans="52:53" x14ac:dyDescent="0.25">
      <c r="AZ403" s="74"/>
      <c r="BA403" s="74"/>
    </row>
    <row r="404" spans="52:53" x14ac:dyDescent="0.25">
      <c r="AZ404" s="74"/>
      <c r="BA404" s="74"/>
    </row>
    <row r="405" spans="52:53" x14ac:dyDescent="0.25">
      <c r="AZ405" s="74"/>
      <c r="BA405" s="74"/>
    </row>
    <row r="406" spans="52:53" x14ac:dyDescent="0.25">
      <c r="AZ406" s="74"/>
      <c r="BA406" s="74"/>
    </row>
    <row r="407" spans="52:53" x14ac:dyDescent="0.25">
      <c r="AZ407" s="74"/>
      <c r="BA407" s="74"/>
    </row>
    <row r="408" spans="52:53" x14ac:dyDescent="0.25">
      <c r="AZ408" s="74"/>
      <c r="BA408" s="74"/>
    </row>
    <row r="409" spans="52:53" x14ac:dyDescent="0.25">
      <c r="AZ409" s="74"/>
      <c r="BA409" s="74"/>
    </row>
    <row r="410" spans="52:53" x14ac:dyDescent="0.25">
      <c r="AZ410" s="74"/>
      <c r="BA410" s="74"/>
    </row>
    <row r="411" spans="52:53" x14ac:dyDescent="0.25">
      <c r="AZ411" s="74"/>
      <c r="BA411" s="74"/>
    </row>
    <row r="412" spans="52:53" x14ac:dyDescent="0.25">
      <c r="AZ412" s="74"/>
      <c r="BA412" s="74"/>
    </row>
    <row r="413" spans="52:53" x14ac:dyDescent="0.25">
      <c r="AZ413" s="74"/>
      <c r="BA413" s="74"/>
    </row>
    <row r="414" spans="52:53" x14ac:dyDescent="0.25">
      <c r="AZ414" s="74"/>
      <c r="BA414" s="74"/>
    </row>
    <row r="415" spans="52:53" x14ac:dyDescent="0.25">
      <c r="AZ415" s="74"/>
      <c r="BA415" s="74"/>
    </row>
    <row r="416" spans="52:53" x14ac:dyDescent="0.25">
      <c r="AZ416" s="74"/>
      <c r="BA416" s="74"/>
    </row>
    <row r="418" spans="52:53" x14ac:dyDescent="0.25">
      <c r="AZ418" s="81"/>
      <c r="BA418" s="81"/>
    </row>
    <row r="419" spans="52:53" x14ac:dyDescent="0.25">
      <c r="AZ419" s="81"/>
      <c r="BA419" s="81"/>
    </row>
    <row r="420" spans="52:53" x14ac:dyDescent="0.25">
      <c r="AZ420" s="81"/>
      <c r="BA420" s="81"/>
    </row>
    <row r="421" spans="52:53" x14ac:dyDescent="0.25">
      <c r="AZ421" s="81"/>
      <c r="BA421" s="81"/>
    </row>
    <row r="422" spans="52:53" x14ac:dyDescent="0.25">
      <c r="AZ422" s="81"/>
      <c r="BA422" s="81"/>
    </row>
    <row r="423" spans="52:53" x14ac:dyDescent="0.25">
      <c r="AZ423" s="81"/>
      <c r="BA423" s="81"/>
    </row>
    <row r="424" spans="52:53" x14ac:dyDescent="0.25">
      <c r="AZ424" s="81"/>
      <c r="BA424" s="81"/>
    </row>
    <row r="425" spans="52:53" x14ac:dyDescent="0.25">
      <c r="AZ425" s="81"/>
      <c r="BA425" s="81"/>
    </row>
    <row r="426" spans="52:53" x14ac:dyDescent="0.25">
      <c r="AZ426" s="91"/>
      <c r="BA426" s="91"/>
    </row>
    <row r="427" spans="52:53" x14ac:dyDescent="0.25">
      <c r="AZ427" s="97"/>
      <c r="BA427" s="97"/>
    </row>
    <row r="428" spans="52:53" x14ac:dyDescent="0.25">
      <c r="AZ428" s="97"/>
      <c r="BA428" s="97"/>
    </row>
    <row r="429" spans="52:53" x14ac:dyDescent="0.25">
      <c r="AZ429" s="81"/>
      <c r="BA429" s="81"/>
    </row>
    <row r="430" spans="52:53" x14ac:dyDescent="0.25">
      <c r="AZ430" s="81"/>
      <c r="BA430" s="81"/>
    </row>
  </sheetData>
  <sheetProtection sheet="1" formatCells="0" selectLockedCells="1"/>
  <mergeCells count="431">
    <mergeCell ref="U233:W233"/>
    <mergeCell ref="A234:N234"/>
    <mergeCell ref="W234:AH234"/>
    <mergeCell ref="U221:W221"/>
    <mergeCell ref="U222:W222"/>
    <mergeCell ref="K223:N225"/>
    <mergeCell ref="AG223:AH225"/>
    <mergeCell ref="U231:W231"/>
    <mergeCell ref="U232:W232"/>
    <mergeCell ref="AD217:AF217"/>
    <mergeCell ref="K218:N218"/>
    <mergeCell ref="U218:W218"/>
    <mergeCell ref="AG218:AH218"/>
    <mergeCell ref="U219:W219"/>
    <mergeCell ref="U220:W220"/>
    <mergeCell ref="B217:D217"/>
    <mergeCell ref="E217:G217"/>
    <mergeCell ref="H217:J217"/>
    <mergeCell ref="U217:W217"/>
    <mergeCell ref="X217:Z217"/>
    <mergeCell ref="AA217:AC217"/>
    <mergeCell ref="AA215:AC215"/>
    <mergeCell ref="AD215:AF215"/>
    <mergeCell ref="AG215:AH215"/>
    <mergeCell ref="B216:D216"/>
    <mergeCell ref="E216:G216"/>
    <mergeCell ref="H216:J216"/>
    <mergeCell ref="U216:W216"/>
    <mergeCell ref="X216:Z216"/>
    <mergeCell ref="AA216:AC216"/>
    <mergeCell ref="AD216:AF216"/>
    <mergeCell ref="B213:J213"/>
    <mergeCell ref="K213:Q213"/>
    <mergeCell ref="V213:X213"/>
    <mergeCell ref="Y213:AG213"/>
    <mergeCell ref="AH213:AN213"/>
    <mergeCell ref="B215:D215"/>
    <mergeCell ref="E215:G215"/>
    <mergeCell ref="H215:J215"/>
    <mergeCell ref="L215:N215"/>
    <mergeCell ref="X215:Z215"/>
    <mergeCell ref="B211:J211"/>
    <mergeCell ref="K211:Q211"/>
    <mergeCell ref="V211:X211"/>
    <mergeCell ref="Y211:AG211"/>
    <mergeCell ref="AH211:AN211"/>
    <mergeCell ref="B212:J212"/>
    <mergeCell ref="K212:Q212"/>
    <mergeCell ref="V212:X212"/>
    <mergeCell ref="Y212:AG212"/>
    <mergeCell ref="AH212:AN212"/>
    <mergeCell ref="B209:J209"/>
    <mergeCell ref="K209:Q209"/>
    <mergeCell ref="V209:X209"/>
    <mergeCell ref="Y209:AG209"/>
    <mergeCell ref="AH209:AN209"/>
    <mergeCell ref="B210:J210"/>
    <mergeCell ref="K210:Q210"/>
    <mergeCell ref="V210:X210"/>
    <mergeCell ref="Y210:AG210"/>
    <mergeCell ref="AH210:AN210"/>
    <mergeCell ref="A204:E204"/>
    <mergeCell ref="V204:AB204"/>
    <mergeCell ref="A205:E205"/>
    <mergeCell ref="V205:AB205"/>
    <mergeCell ref="A208:J208"/>
    <mergeCell ref="V208:AG208"/>
    <mergeCell ref="AC202:AF202"/>
    <mergeCell ref="AG202:AI202"/>
    <mergeCell ref="A203:E203"/>
    <mergeCell ref="F203:N203"/>
    <mergeCell ref="U203:AA203"/>
    <mergeCell ref="AC203:AI203"/>
    <mergeCell ref="A200:E200"/>
    <mergeCell ref="J200:Q200"/>
    <mergeCell ref="V200:AB200"/>
    <mergeCell ref="A202:D202"/>
    <mergeCell ref="F202:I202"/>
    <mergeCell ref="J202:N202"/>
    <mergeCell ref="U202:AB202"/>
    <mergeCell ref="J198:Q198"/>
    <mergeCell ref="AG198:AK198"/>
    <mergeCell ref="A199:E199"/>
    <mergeCell ref="F199:I199"/>
    <mergeCell ref="J199:Q199"/>
    <mergeCell ref="V199:AB199"/>
    <mergeCell ref="AC199:AF199"/>
    <mergeCell ref="AG199:AK199"/>
    <mergeCell ref="A195:E195"/>
    <mergeCell ref="V195:AB195"/>
    <mergeCell ref="A196:E196"/>
    <mergeCell ref="V196:AB196"/>
    <mergeCell ref="F197:I197"/>
    <mergeCell ref="AC197:AF197"/>
    <mergeCell ref="A193:E193"/>
    <mergeCell ref="F193:N193"/>
    <mergeCell ref="U193:AA193"/>
    <mergeCell ref="AC193:AI193"/>
    <mergeCell ref="A194:E194"/>
    <mergeCell ref="F194:I194"/>
    <mergeCell ref="J194:N194"/>
    <mergeCell ref="U194:AA194"/>
    <mergeCell ref="AC194:AF194"/>
    <mergeCell ref="AG194:AI194"/>
    <mergeCell ref="A188:P188"/>
    <mergeCell ref="S188:AG188"/>
    <mergeCell ref="A190:E190"/>
    <mergeCell ref="V190:AB190"/>
    <mergeCell ref="A191:E191"/>
    <mergeCell ref="V191:AB191"/>
    <mergeCell ref="AL180:AO180"/>
    <mergeCell ref="A182:AQ182"/>
    <mergeCell ref="A183:AR183"/>
    <mergeCell ref="A184:AR184"/>
    <mergeCell ref="A185:AR185"/>
    <mergeCell ref="A186:L186"/>
    <mergeCell ref="AB179:AE179"/>
    <mergeCell ref="AF179:AK179"/>
    <mergeCell ref="AL179:AO179"/>
    <mergeCell ref="B180:G180"/>
    <mergeCell ref="H180:K180"/>
    <mergeCell ref="L180:Q180"/>
    <mergeCell ref="R180:U180"/>
    <mergeCell ref="V180:AA180"/>
    <mergeCell ref="AB180:AE180"/>
    <mergeCell ref="AF180:AK180"/>
    <mergeCell ref="R178:U178"/>
    <mergeCell ref="V178:AA178"/>
    <mergeCell ref="AB178:AE178"/>
    <mergeCell ref="AF178:AK178"/>
    <mergeCell ref="AL178:AO178"/>
    <mergeCell ref="B179:G179"/>
    <mergeCell ref="H179:K179"/>
    <mergeCell ref="L179:Q179"/>
    <mergeCell ref="R179:U179"/>
    <mergeCell ref="V179:AA179"/>
    <mergeCell ref="A175:AR175"/>
    <mergeCell ref="A176:AQ176"/>
    <mergeCell ref="A177:A178"/>
    <mergeCell ref="B177:K177"/>
    <mergeCell ref="L177:U177"/>
    <mergeCell ref="V177:AE177"/>
    <mergeCell ref="AF177:AO177"/>
    <mergeCell ref="B178:G178"/>
    <mergeCell ref="H178:K178"/>
    <mergeCell ref="L178:Q178"/>
    <mergeCell ref="X108:Z108"/>
    <mergeCell ref="AA108:AC108"/>
    <mergeCell ref="AD108:AF108"/>
    <mergeCell ref="AH142:AL142"/>
    <mergeCell ref="A174:AM174"/>
    <mergeCell ref="AN174:AQ174"/>
    <mergeCell ref="X107:Z107"/>
    <mergeCell ref="AA107:AC107"/>
    <mergeCell ref="AD107:AF107"/>
    <mergeCell ref="B108:D108"/>
    <mergeCell ref="E108:G108"/>
    <mergeCell ref="H108:J108"/>
    <mergeCell ref="L108:N108"/>
    <mergeCell ref="O108:Q108"/>
    <mergeCell ref="R108:T108"/>
    <mergeCell ref="U108:W108"/>
    <mergeCell ref="X106:Z106"/>
    <mergeCell ref="AA106:AC106"/>
    <mergeCell ref="AD106:AF106"/>
    <mergeCell ref="B107:D107"/>
    <mergeCell ref="E107:G107"/>
    <mergeCell ref="H107:J107"/>
    <mergeCell ref="L107:N107"/>
    <mergeCell ref="O107:Q107"/>
    <mergeCell ref="R107:T107"/>
    <mergeCell ref="U107:W107"/>
    <mergeCell ref="X105:Z105"/>
    <mergeCell ref="AA105:AC105"/>
    <mergeCell ref="AD105:AF105"/>
    <mergeCell ref="B106:D106"/>
    <mergeCell ref="E106:G106"/>
    <mergeCell ref="H106:J106"/>
    <mergeCell ref="L106:N106"/>
    <mergeCell ref="O106:Q106"/>
    <mergeCell ref="R106:T106"/>
    <mergeCell ref="U106:W106"/>
    <mergeCell ref="AA104:AC104"/>
    <mergeCell ref="AD104:AF104"/>
    <mergeCell ref="AG104:AR107"/>
    <mergeCell ref="B105:D105"/>
    <mergeCell ref="E105:G105"/>
    <mergeCell ref="H105:J105"/>
    <mergeCell ref="L105:N105"/>
    <mergeCell ref="O105:Q105"/>
    <mergeCell ref="R105:T105"/>
    <mergeCell ref="U105:W105"/>
    <mergeCell ref="B103:AJ103"/>
    <mergeCell ref="B104:D104"/>
    <mergeCell ref="E104:G104"/>
    <mergeCell ref="H104:J104"/>
    <mergeCell ref="K104:K114"/>
    <mergeCell ref="L104:N104"/>
    <mergeCell ref="O104:Q104"/>
    <mergeCell ref="R104:T104"/>
    <mergeCell ref="U104:W104"/>
    <mergeCell ref="X104:Z104"/>
    <mergeCell ref="AA101:AC102"/>
    <mergeCell ref="AD101:AF102"/>
    <mergeCell ref="AG101:AG102"/>
    <mergeCell ref="AH101:AH102"/>
    <mergeCell ref="AI101:AJ102"/>
    <mergeCell ref="B102:D102"/>
    <mergeCell ref="E102:L102"/>
    <mergeCell ref="A101:A102"/>
    <mergeCell ref="B101:D101"/>
    <mergeCell ref="E101:L101"/>
    <mergeCell ref="M101:Q102"/>
    <mergeCell ref="S101:W102"/>
    <mergeCell ref="X101:Z102"/>
    <mergeCell ref="AD99:AF100"/>
    <mergeCell ref="AG99:AG100"/>
    <mergeCell ref="AH99:AH100"/>
    <mergeCell ref="AI99:AJ100"/>
    <mergeCell ref="B100:D100"/>
    <mergeCell ref="E100:L100"/>
    <mergeCell ref="AI97:AJ98"/>
    <mergeCell ref="B98:D98"/>
    <mergeCell ref="E98:L98"/>
    <mergeCell ref="A99:A100"/>
    <mergeCell ref="B99:D99"/>
    <mergeCell ref="E99:L99"/>
    <mergeCell ref="M99:Q100"/>
    <mergeCell ref="S99:W100"/>
    <mergeCell ref="X99:Z100"/>
    <mergeCell ref="AA99:AC100"/>
    <mergeCell ref="S97:W98"/>
    <mergeCell ref="X97:Z98"/>
    <mergeCell ref="AA97:AC98"/>
    <mergeCell ref="AD97:AF98"/>
    <mergeCell ref="AG97:AG98"/>
    <mergeCell ref="AH97:AH98"/>
    <mergeCell ref="B96:D96"/>
    <mergeCell ref="E96:L96"/>
    <mergeCell ref="A97:A98"/>
    <mergeCell ref="B97:D97"/>
    <mergeCell ref="E97:L97"/>
    <mergeCell ref="M97:Q98"/>
    <mergeCell ref="X95:Z96"/>
    <mergeCell ref="AA95:AC96"/>
    <mergeCell ref="AD95:AF96"/>
    <mergeCell ref="AG95:AG96"/>
    <mergeCell ref="AH95:AH96"/>
    <mergeCell ref="AI95:AJ96"/>
    <mergeCell ref="AG93:AG94"/>
    <mergeCell ref="AH93:AH94"/>
    <mergeCell ref="AI93:AJ94"/>
    <mergeCell ref="B94:D94"/>
    <mergeCell ref="E94:L94"/>
    <mergeCell ref="A95:A96"/>
    <mergeCell ref="B95:D95"/>
    <mergeCell ref="E95:L95"/>
    <mergeCell ref="M95:Q96"/>
    <mergeCell ref="S95:W96"/>
    <mergeCell ref="AD92:AF92"/>
    <mergeCell ref="AI92:AJ92"/>
    <mergeCell ref="A93:A94"/>
    <mergeCell ref="B93:D93"/>
    <mergeCell ref="E93:L93"/>
    <mergeCell ref="M93:Q94"/>
    <mergeCell ref="S93:W94"/>
    <mergeCell ref="X93:Z94"/>
    <mergeCell ref="AA93:AC94"/>
    <mergeCell ref="AD93:AF94"/>
    <mergeCell ref="A90:AR90"/>
    <mergeCell ref="C91:H91"/>
    <mergeCell ref="I91:J91"/>
    <mergeCell ref="K91:AJ91"/>
    <mergeCell ref="B92:L92"/>
    <mergeCell ref="M92:Q92"/>
    <mergeCell ref="R92:R102"/>
    <mergeCell ref="S92:W92"/>
    <mergeCell ref="X92:Z92"/>
    <mergeCell ref="AA92:AC92"/>
    <mergeCell ref="X23:Z23"/>
    <mergeCell ref="AA23:AC23"/>
    <mergeCell ref="AD23:AF23"/>
    <mergeCell ref="AH57:AL57"/>
    <mergeCell ref="A89:AM89"/>
    <mergeCell ref="AN89:AQ89"/>
    <mergeCell ref="X22:Z22"/>
    <mergeCell ref="AA22:AC22"/>
    <mergeCell ref="AD22:AF22"/>
    <mergeCell ref="B23:D23"/>
    <mergeCell ref="E23:G23"/>
    <mergeCell ref="H23:J23"/>
    <mergeCell ref="L23:N23"/>
    <mergeCell ref="O23:Q23"/>
    <mergeCell ref="R23:T23"/>
    <mergeCell ref="U23:W23"/>
    <mergeCell ref="X21:Z21"/>
    <mergeCell ref="AA21:AC21"/>
    <mergeCell ref="AD21:AF21"/>
    <mergeCell ref="B22:D22"/>
    <mergeCell ref="E22:G22"/>
    <mergeCell ref="H22:J22"/>
    <mergeCell ref="L22:N22"/>
    <mergeCell ref="O22:Q22"/>
    <mergeCell ref="R22:T22"/>
    <mergeCell ref="U22:W22"/>
    <mergeCell ref="X20:Z20"/>
    <mergeCell ref="AA20:AC20"/>
    <mergeCell ref="AD20:AF20"/>
    <mergeCell ref="B21:D21"/>
    <mergeCell ref="E21:G21"/>
    <mergeCell ref="H21:J21"/>
    <mergeCell ref="L21:N21"/>
    <mergeCell ref="O21:Q21"/>
    <mergeCell ref="R21:T21"/>
    <mergeCell ref="U21:W21"/>
    <mergeCell ref="AA19:AC19"/>
    <mergeCell ref="AD19:AF19"/>
    <mergeCell ref="AG19:AR22"/>
    <mergeCell ref="B20:D20"/>
    <mergeCell ref="E20:G20"/>
    <mergeCell ref="H20:J20"/>
    <mergeCell ref="L20:N20"/>
    <mergeCell ref="O20:Q20"/>
    <mergeCell ref="R20:T20"/>
    <mergeCell ref="U20:W20"/>
    <mergeCell ref="B18:AJ18"/>
    <mergeCell ref="B19:D19"/>
    <mergeCell ref="E19:G19"/>
    <mergeCell ref="H19:J19"/>
    <mergeCell ref="K19:K29"/>
    <mergeCell ref="L19:N19"/>
    <mergeCell ref="O19:Q19"/>
    <mergeCell ref="R19:T19"/>
    <mergeCell ref="U19:W19"/>
    <mergeCell ref="X19:Z19"/>
    <mergeCell ref="AA16:AC17"/>
    <mergeCell ref="AD16:AF17"/>
    <mergeCell ref="AG16:AG17"/>
    <mergeCell ref="AH16:AH17"/>
    <mergeCell ref="AI16:AJ17"/>
    <mergeCell ref="B17:D17"/>
    <mergeCell ref="E17:L17"/>
    <mergeCell ref="AH14:AH15"/>
    <mergeCell ref="AI14:AJ15"/>
    <mergeCell ref="B15:D15"/>
    <mergeCell ref="E15:L15"/>
    <mergeCell ref="A16:A17"/>
    <mergeCell ref="B16:D16"/>
    <mergeCell ref="E16:L16"/>
    <mergeCell ref="M16:Q17"/>
    <mergeCell ref="S16:W17"/>
    <mergeCell ref="X16:Z17"/>
    <mergeCell ref="AT13:AY14"/>
    <mergeCell ref="A14:A15"/>
    <mergeCell ref="B14:D14"/>
    <mergeCell ref="E14:L14"/>
    <mergeCell ref="M14:Q15"/>
    <mergeCell ref="S14:W15"/>
    <mergeCell ref="X14:Z15"/>
    <mergeCell ref="AA14:AC15"/>
    <mergeCell ref="AD14:AF15"/>
    <mergeCell ref="AG14:AG15"/>
    <mergeCell ref="AA12:AC13"/>
    <mergeCell ref="AD12:AF13"/>
    <mergeCell ref="AG12:AG13"/>
    <mergeCell ref="AH12:AH13"/>
    <mergeCell ref="AI12:AJ13"/>
    <mergeCell ref="B13:D13"/>
    <mergeCell ref="E13:L13"/>
    <mergeCell ref="A12:A13"/>
    <mergeCell ref="B12:D12"/>
    <mergeCell ref="E12:L12"/>
    <mergeCell ref="M12:Q13"/>
    <mergeCell ref="S12:W13"/>
    <mergeCell ref="X12:Z13"/>
    <mergeCell ref="AA10:AC11"/>
    <mergeCell ref="AD10:AF11"/>
    <mergeCell ref="AG10:AG11"/>
    <mergeCell ref="AH10:AH11"/>
    <mergeCell ref="AI10:AJ11"/>
    <mergeCell ref="B11:D11"/>
    <mergeCell ref="E11:L11"/>
    <mergeCell ref="AH8:AH9"/>
    <mergeCell ref="AI8:AJ9"/>
    <mergeCell ref="B9:D9"/>
    <mergeCell ref="E9:L9"/>
    <mergeCell ref="A10:A11"/>
    <mergeCell ref="B10:D10"/>
    <mergeCell ref="E10:L10"/>
    <mergeCell ref="M10:Q11"/>
    <mergeCell ref="S10:W11"/>
    <mergeCell ref="X10:Z11"/>
    <mergeCell ref="AI7:AJ7"/>
    <mergeCell ref="A8:A9"/>
    <mergeCell ref="B8:D8"/>
    <mergeCell ref="E8:L8"/>
    <mergeCell ref="M8:Q9"/>
    <mergeCell ref="S8:W9"/>
    <mergeCell ref="X8:Z9"/>
    <mergeCell ref="AA8:AC9"/>
    <mergeCell ref="AD8:AF9"/>
    <mergeCell ref="AG8:AG9"/>
    <mergeCell ref="C6:H6"/>
    <mergeCell ref="I6:J6"/>
    <mergeCell ref="K6:AJ6"/>
    <mergeCell ref="B7:L7"/>
    <mergeCell ref="M7:Q7"/>
    <mergeCell ref="R7:R17"/>
    <mergeCell ref="S7:W7"/>
    <mergeCell ref="X7:Z7"/>
    <mergeCell ref="AA7:AC7"/>
    <mergeCell ref="AD7:AF7"/>
    <mergeCell ref="AE3:AF3"/>
    <mergeCell ref="H4:N4"/>
    <mergeCell ref="O4:U4"/>
    <mergeCell ref="V4:Z4"/>
    <mergeCell ref="AA4:AF4"/>
    <mergeCell ref="B5:J5"/>
    <mergeCell ref="L5:AF5"/>
    <mergeCell ref="B3:C3"/>
    <mergeCell ref="D3:L3"/>
    <mergeCell ref="M3:P3"/>
    <mergeCell ref="Q3:U3"/>
    <mergeCell ref="V3:AA3"/>
    <mergeCell ref="AC3:AD3"/>
    <mergeCell ref="A1:AF1"/>
    <mergeCell ref="AT1:AW1"/>
    <mergeCell ref="AX1:AY1"/>
    <mergeCell ref="J2:U2"/>
    <mergeCell ref="V2:X2"/>
    <mergeCell ref="Y2:AF2"/>
  </mergeCells>
  <conditionalFormatting sqref="A8 A93">
    <cfRule type="expression" dxfId="1740" priority="1" stopIfTrue="1">
      <formula>IF(AL9&gt;0,0,1)</formula>
    </cfRule>
  </conditionalFormatting>
  <conditionalFormatting sqref="A10:A11 A95:A96">
    <cfRule type="expression" dxfId="1739" priority="2" stopIfTrue="1">
      <formula>IF(AL9&gt;1,0,1)</formula>
    </cfRule>
  </conditionalFormatting>
  <conditionalFormatting sqref="A12:A13 A97:A98">
    <cfRule type="expression" dxfId="1738" priority="3" stopIfTrue="1">
      <formula>IF(AL9&gt;2,0,1)</formula>
    </cfRule>
  </conditionalFormatting>
  <conditionalFormatting sqref="A14:A15 A99:A100">
    <cfRule type="expression" dxfId="1737" priority="4" stopIfTrue="1">
      <formula>IF(AL9&gt;3,0,1)</formula>
    </cfRule>
  </conditionalFormatting>
  <conditionalFormatting sqref="A16:A17 A101:A102">
    <cfRule type="expression" dxfId="1736" priority="5" stopIfTrue="1">
      <formula>IF(AL9&gt;4,0,1)</formula>
    </cfRule>
  </conditionalFormatting>
  <conditionalFormatting sqref="B8 B93">
    <cfRule type="expression" dxfId="1735" priority="6" stopIfTrue="1">
      <formula>IF(AL9&gt;0,0,1)</formula>
    </cfRule>
  </conditionalFormatting>
  <conditionalFormatting sqref="B9 B94">
    <cfRule type="expression" dxfId="1734" priority="7" stopIfTrue="1">
      <formula>IF(AL9&gt;0,0,1)</formula>
    </cfRule>
  </conditionalFormatting>
  <conditionalFormatting sqref="B10 B95">
    <cfRule type="expression" dxfId="1733" priority="8" stopIfTrue="1">
      <formula>IF(AL9&gt;1,0,1)</formula>
    </cfRule>
  </conditionalFormatting>
  <conditionalFormatting sqref="B11:D11 B96:D96">
    <cfRule type="expression" dxfId="1732" priority="9" stopIfTrue="1">
      <formula>IF(AL9&gt;1,0,1)</formula>
    </cfRule>
  </conditionalFormatting>
  <conditionalFormatting sqref="B12:D12 B97:D97">
    <cfRule type="expression" dxfId="1731" priority="10" stopIfTrue="1">
      <formula>IF(AL9&gt;2,0,1)</formula>
    </cfRule>
  </conditionalFormatting>
  <conditionalFormatting sqref="B13:D13 B98:D98">
    <cfRule type="expression" dxfId="1730" priority="11" stopIfTrue="1">
      <formula>IF(AL9&gt;2,0,1)</formula>
    </cfRule>
  </conditionalFormatting>
  <conditionalFormatting sqref="B14:D14 B99:D99">
    <cfRule type="expression" dxfId="1729" priority="12" stopIfTrue="1">
      <formula>IF(AL9&gt;3,0,1)</formula>
    </cfRule>
  </conditionalFormatting>
  <conditionalFormatting sqref="B15:D15 B100:D100">
    <cfRule type="expression" dxfId="1728" priority="13" stopIfTrue="1">
      <formula>IF(AL9&gt;3,0,1)</formula>
    </cfRule>
  </conditionalFormatting>
  <conditionalFormatting sqref="B16:D16 B101:D101">
    <cfRule type="expression" dxfId="1727" priority="14" stopIfTrue="1">
      <formula>IF(AL9&gt;4,0,1)</formula>
    </cfRule>
  </conditionalFormatting>
  <conditionalFormatting sqref="B17:D17 B102:D102">
    <cfRule type="expression" dxfId="1726" priority="15" stopIfTrue="1">
      <formula>IF(AL9&gt;4,0,1)</formula>
    </cfRule>
  </conditionalFormatting>
  <conditionalFormatting sqref="E8 E93">
    <cfRule type="expression" dxfId="1725" priority="16" stopIfTrue="1">
      <formula>IF(AL9&gt;0,0,1)</formula>
    </cfRule>
  </conditionalFormatting>
  <conditionalFormatting sqref="E9 E94">
    <cfRule type="expression" dxfId="1724" priority="17" stopIfTrue="1">
      <formula>IF(AL9&gt;0,0,1)</formula>
    </cfRule>
  </conditionalFormatting>
  <conditionalFormatting sqref="E10 E95">
    <cfRule type="expression" dxfId="1723" priority="18" stopIfTrue="1">
      <formula>IF(AL9&gt;1,0,1)</formula>
    </cfRule>
  </conditionalFormatting>
  <conditionalFormatting sqref="E11 E96">
    <cfRule type="expression" dxfId="1722" priority="19" stopIfTrue="1">
      <formula>IF(AL9&gt;1,0,1)</formula>
    </cfRule>
  </conditionalFormatting>
  <conditionalFormatting sqref="E12 E97">
    <cfRule type="expression" dxfId="1721" priority="20" stopIfTrue="1">
      <formula>IF(AL9&gt;2,0,1)</formula>
    </cfRule>
  </conditionalFormatting>
  <conditionalFormatting sqref="E13 E98">
    <cfRule type="expression" dxfId="1720" priority="21" stopIfTrue="1">
      <formula>IF(AL9&gt;2,0,1)</formula>
    </cfRule>
  </conditionalFormatting>
  <conditionalFormatting sqref="E14 E99">
    <cfRule type="expression" dxfId="1719" priority="22" stopIfTrue="1">
      <formula>IF(AL9&gt;3,0,1)</formula>
    </cfRule>
  </conditionalFormatting>
  <conditionalFormatting sqref="E15 E100">
    <cfRule type="expression" dxfId="1718" priority="23" stopIfTrue="1">
      <formula>IF(AL9&gt;3,0,1)</formula>
    </cfRule>
  </conditionalFormatting>
  <conditionalFormatting sqref="E16 E101">
    <cfRule type="expression" dxfId="1717" priority="24" stopIfTrue="1">
      <formula>IF(AL9&gt;4,0,1)</formula>
    </cfRule>
  </conditionalFormatting>
  <conditionalFormatting sqref="E17 E102">
    <cfRule type="expression" dxfId="1716" priority="25" stopIfTrue="1">
      <formula>IF(AL9&gt;4,0,1)</formula>
    </cfRule>
  </conditionalFormatting>
  <conditionalFormatting sqref="AD8 AD93">
    <cfRule type="expression" dxfId="1715" priority="26" stopIfTrue="1">
      <formula>IF(AL11=1,IF(AL9&gt;0,0,1),1)</formula>
    </cfRule>
  </conditionalFormatting>
  <conditionalFormatting sqref="AD10:AF11 AD95:AF96">
    <cfRule type="expression" dxfId="1714" priority="27" stopIfTrue="1">
      <formula>IF(AL11=1,IF(AL9&gt;1,0,1),1)</formula>
    </cfRule>
  </conditionalFormatting>
  <conditionalFormatting sqref="AD12:AF13 AD97:AF98">
    <cfRule type="expression" dxfId="1713" priority="28" stopIfTrue="1">
      <formula>IF(AL11=1,IF(AL9&gt;2,0,1),1)</formula>
    </cfRule>
  </conditionalFormatting>
  <conditionalFormatting sqref="AD14:AF15 AD99:AF100">
    <cfRule type="expression" dxfId="1712" priority="29" stopIfTrue="1">
      <formula>IF(AL11=1,IF(AL9&gt;3,0,1),1)</formula>
    </cfRule>
  </conditionalFormatting>
  <conditionalFormatting sqref="AD16:AF17 AD101:AF102">
    <cfRule type="expression" dxfId="1711" priority="30" stopIfTrue="1">
      <formula>IF(AL11=1,IF(AL9&gt;4,0,1),1)</formula>
    </cfRule>
  </conditionalFormatting>
  <conditionalFormatting sqref="AI8 AI93">
    <cfRule type="expression" dxfId="1710" priority="31" stopIfTrue="1">
      <formula>IF(AL9&gt;0,0,1)</formula>
    </cfRule>
  </conditionalFormatting>
  <conditionalFormatting sqref="AI10:AJ11 AI95:AJ96">
    <cfRule type="expression" dxfId="1709" priority="32" stopIfTrue="1">
      <formula>IF(AL9&gt;1,0,1)</formula>
    </cfRule>
  </conditionalFormatting>
  <conditionalFormatting sqref="AI12:AJ13 AI97:AJ98">
    <cfRule type="expression" dxfId="1708" priority="33" stopIfTrue="1">
      <formula>IF(AL9&gt;2,0,1)</formula>
    </cfRule>
  </conditionalFormatting>
  <conditionalFormatting sqref="AI14:AJ15 AI99:AJ100">
    <cfRule type="expression" dxfId="1707" priority="34" stopIfTrue="1">
      <formula>IF(AL9&gt;3,0,1)</formula>
    </cfRule>
  </conditionalFormatting>
  <conditionalFormatting sqref="AI16:AJ17 AI101:AJ102">
    <cfRule type="expression" dxfId="1706" priority="35" stopIfTrue="1">
      <formula>IF(AL9&gt;4,0,1)</formula>
    </cfRule>
  </conditionalFormatting>
  <conditionalFormatting sqref="B19:D19 B104:D104">
    <cfRule type="expression" dxfId="1705" priority="36" stopIfTrue="1">
      <formula>IF(AL8&gt;0,0,1)</formula>
    </cfRule>
  </conditionalFormatting>
  <conditionalFormatting sqref="E19:G19 E104:G104">
    <cfRule type="expression" dxfId="1704" priority="37" stopIfTrue="1">
      <formula>IF(AL8&gt;1,0,1)</formula>
    </cfRule>
  </conditionalFormatting>
  <conditionalFormatting sqref="H19:J19 H104:J104">
    <cfRule type="expression" dxfId="1703" priority="38" stopIfTrue="1">
      <formula>IF(AL8&gt;2,0,1)</formula>
    </cfRule>
  </conditionalFormatting>
  <conditionalFormatting sqref="L19:N19 L104:N104">
    <cfRule type="expression" dxfId="1702" priority="39" stopIfTrue="1">
      <formula>IF(AL8&gt;3,0,1)</formula>
    </cfRule>
  </conditionalFormatting>
  <conditionalFormatting sqref="O19:Q19 O104:Q104">
    <cfRule type="expression" dxfId="1701" priority="40" stopIfTrue="1">
      <formula>IF(AL8&gt;4,0,1)</formula>
    </cfRule>
  </conditionalFormatting>
  <conditionalFormatting sqref="R19:T19 R104:T104">
    <cfRule type="expression" dxfId="1700" priority="41" stopIfTrue="1">
      <formula>IF(AL8&gt;5,0,1)</formula>
    </cfRule>
  </conditionalFormatting>
  <conditionalFormatting sqref="U19:W19 U104:W104">
    <cfRule type="expression" dxfId="1699" priority="42" stopIfTrue="1">
      <formula>IF(AL8&gt;6,0,1)</formula>
    </cfRule>
  </conditionalFormatting>
  <conditionalFormatting sqref="X19:Z19 X104:Z104">
    <cfRule type="expression" dxfId="1698" priority="43" stopIfTrue="1">
      <formula>IF(AL8&gt;7,0,1)</formula>
    </cfRule>
  </conditionalFormatting>
  <conditionalFormatting sqref="AA19:AC19 AA104:AC104">
    <cfRule type="expression" dxfId="1697" priority="44" stopIfTrue="1">
      <formula>IF(AL8&gt;8,0,1)</formula>
    </cfRule>
  </conditionalFormatting>
  <conditionalFormatting sqref="AD19:AF19 AD104:AF104">
    <cfRule type="expression" dxfId="1696" priority="45" stopIfTrue="1">
      <formula>IF(AL8&gt;9,0,1)</formula>
    </cfRule>
  </conditionalFormatting>
  <conditionalFormatting sqref="B20:D20 B105:D105">
    <cfRule type="expression" dxfId="1695" priority="46" stopIfTrue="1">
      <formula>IF(AL8&gt;0,0,1)</formula>
    </cfRule>
  </conditionalFormatting>
  <conditionalFormatting sqref="E20:G20 E105:G105">
    <cfRule type="expression" dxfId="1694" priority="47" stopIfTrue="1">
      <formula>IF(AL8&gt;1,0,1)</formula>
    </cfRule>
  </conditionalFormatting>
  <conditionalFormatting sqref="H20:J20 H105:J105">
    <cfRule type="expression" dxfId="1693" priority="48" stopIfTrue="1">
      <formula>IF(AL8&gt;2,0,1)</formula>
    </cfRule>
  </conditionalFormatting>
  <conditionalFormatting sqref="L20:N20 L105:N105">
    <cfRule type="expression" dxfId="1692" priority="49" stopIfTrue="1">
      <formula>IF(AL8&gt;3,0,1)</formula>
    </cfRule>
  </conditionalFormatting>
  <conditionalFormatting sqref="O20:Q20 O105:Q105">
    <cfRule type="expression" dxfId="1691" priority="50" stopIfTrue="1">
      <formula>IF(AL8&gt;4,0,1)</formula>
    </cfRule>
  </conditionalFormatting>
  <conditionalFormatting sqref="R20:T20 R105:T105">
    <cfRule type="expression" dxfId="1690" priority="51" stopIfTrue="1">
      <formula>IF(AL8&gt;5,0,1)</formula>
    </cfRule>
  </conditionalFormatting>
  <conditionalFormatting sqref="U20:W20 U105:W105">
    <cfRule type="expression" dxfId="1689" priority="52" stopIfTrue="1">
      <formula>IF(AL8&gt;6,0,1)</formula>
    </cfRule>
  </conditionalFormatting>
  <conditionalFormatting sqref="X20:Z20 X105:Z105">
    <cfRule type="expression" dxfId="1688" priority="53" stopIfTrue="1">
      <formula>IF(AL8&gt;7,0,1)</formula>
    </cfRule>
  </conditionalFormatting>
  <conditionalFormatting sqref="AA20:AC20 AA105:AC105">
    <cfRule type="expression" dxfId="1687" priority="54" stopIfTrue="1">
      <formula>IF(AL8&gt;8,0,1)</formula>
    </cfRule>
  </conditionalFormatting>
  <conditionalFormatting sqref="AD20:AF20 AD105:AF105">
    <cfRule type="expression" dxfId="1686" priority="55" stopIfTrue="1">
      <formula>IF(AL8&gt;9,0,1)</formula>
    </cfRule>
  </conditionalFormatting>
  <conditionalFormatting sqref="E22:G22 E107:G107">
    <cfRule type="expression" dxfId="1685" priority="56" stopIfTrue="1">
      <formula>IF(AL8&gt;1,0,1)</formula>
    </cfRule>
  </conditionalFormatting>
  <conditionalFormatting sqref="H22:J22 H107:J107">
    <cfRule type="expression" dxfId="1684" priority="57" stopIfTrue="1">
      <formula>IF(AL8&gt;2,0,1)</formula>
    </cfRule>
  </conditionalFormatting>
  <conditionalFormatting sqref="L22:N22 L107:N107">
    <cfRule type="expression" dxfId="1683" priority="58" stopIfTrue="1">
      <formula>IF(AL8&gt;3,0,1)</formula>
    </cfRule>
  </conditionalFormatting>
  <conditionalFormatting sqref="O22:Q22 O107:Q107">
    <cfRule type="expression" dxfId="1682" priority="59" stopIfTrue="1">
      <formula>IF(AL8&gt;4,0,1)</formula>
    </cfRule>
  </conditionalFormatting>
  <conditionalFormatting sqref="R22:T22 R107:T107">
    <cfRule type="expression" dxfId="1681" priority="60" stopIfTrue="1">
      <formula>IF(AL8&gt;5,0,1)</formula>
    </cfRule>
  </conditionalFormatting>
  <conditionalFormatting sqref="U22:W22 U107:W107">
    <cfRule type="expression" dxfId="1680" priority="61" stopIfTrue="1">
      <formula>IF(AL8&gt;6,0,1)</formula>
    </cfRule>
  </conditionalFormatting>
  <conditionalFormatting sqref="X22:Z22 X107:Z107">
    <cfRule type="expression" dxfId="1679" priority="62" stopIfTrue="1">
      <formula>IF(AL8&gt;7,0,1)</formula>
    </cfRule>
  </conditionalFormatting>
  <conditionalFormatting sqref="AA22:AC22 AA107:AC107">
    <cfRule type="expression" dxfId="1678" priority="63" stopIfTrue="1">
      <formula>IF(AL8&gt;8,0,1)</formula>
    </cfRule>
  </conditionalFormatting>
  <conditionalFormatting sqref="AD22:AF22 AD107:AF107">
    <cfRule type="expression" dxfId="1677" priority="64" stopIfTrue="1">
      <formula>IF(AL8&gt;9,0,1)</formula>
    </cfRule>
  </conditionalFormatting>
  <conditionalFormatting sqref="B24 B109">
    <cfRule type="expression" dxfId="1676" priority="65" stopIfTrue="1">
      <formula>IF(AL8&gt;0,0,1)</formula>
    </cfRule>
  </conditionalFormatting>
  <conditionalFormatting sqref="C24 C109">
    <cfRule type="expression" dxfId="1675" priority="66" stopIfTrue="1">
      <formula>IF(AL8&gt;0,0,1)</formula>
    </cfRule>
  </conditionalFormatting>
  <conditionalFormatting sqref="D24 D109">
    <cfRule type="expression" dxfId="1674" priority="67" stopIfTrue="1">
      <formula>IF(AL8&gt;0,0,1)</formula>
    </cfRule>
  </conditionalFormatting>
  <conditionalFormatting sqref="E23:G23 E108:G108">
    <cfRule type="expression" dxfId="1673" priority="68" stopIfTrue="1">
      <formula>IF(AL8&gt;1,0,1)</formula>
    </cfRule>
  </conditionalFormatting>
  <conditionalFormatting sqref="F24 F109">
    <cfRule type="expression" dxfId="1672" priority="69" stopIfTrue="1">
      <formula>IF(AL8&gt;1,0,1)</formula>
    </cfRule>
  </conditionalFormatting>
  <conditionalFormatting sqref="G24 G109">
    <cfRule type="expression" dxfId="1671" priority="70" stopIfTrue="1">
      <formula>IF(AL8&gt;1,0,1)</formula>
    </cfRule>
  </conditionalFormatting>
  <conditionalFormatting sqref="H23:J23 H108:J108">
    <cfRule type="expression" dxfId="1670" priority="71" stopIfTrue="1">
      <formula>IF(AL8&gt;2,0,1)</formula>
    </cfRule>
  </conditionalFormatting>
  <conditionalFormatting sqref="I24 I109">
    <cfRule type="expression" dxfId="1669" priority="72" stopIfTrue="1">
      <formula>IF(AL8&gt;2,0,1)</formula>
    </cfRule>
  </conditionalFormatting>
  <conditionalFormatting sqref="J24 J109">
    <cfRule type="expression" dxfId="1668" priority="73" stopIfTrue="1">
      <formula>IF(AL8&gt;2,0,1)</formula>
    </cfRule>
  </conditionalFormatting>
  <conditionalFormatting sqref="L23:N23 L108:N108">
    <cfRule type="expression" dxfId="1667" priority="74" stopIfTrue="1">
      <formula>IF(AL8&gt;3,0,1)</formula>
    </cfRule>
  </conditionalFormatting>
  <conditionalFormatting sqref="M24 M109">
    <cfRule type="expression" dxfId="1666" priority="75" stopIfTrue="1">
      <formula>IF(AL8&gt;3,0,1)</formula>
    </cfRule>
  </conditionalFormatting>
  <conditionalFormatting sqref="N24 N109">
    <cfRule type="expression" dxfId="1665" priority="76" stopIfTrue="1">
      <formula>IF(AL8&gt;3,0,1)</formula>
    </cfRule>
  </conditionalFormatting>
  <conditionalFormatting sqref="O23:Q23 O108:Q108">
    <cfRule type="expression" dxfId="1664" priority="77" stopIfTrue="1">
      <formula>IF(AL8&gt;4,0,1)</formula>
    </cfRule>
  </conditionalFormatting>
  <conditionalFormatting sqref="P24 P109">
    <cfRule type="expression" dxfId="1663" priority="78" stopIfTrue="1">
      <formula>IF(AL8&gt;4,0,1)</formula>
    </cfRule>
  </conditionalFormatting>
  <conditionalFormatting sqref="Q24 Q109">
    <cfRule type="expression" dxfId="1662" priority="79" stopIfTrue="1">
      <formula>IF(AL8&gt;4,0,1)</formula>
    </cfRule>
  </conditionalFormatting>
  <conditionalFormatting sqref="R23:T23 R108:T108">
    <cfRule type="expression" dxfId="1661" priority="80" stopIfTrue="1">
      <formula>IF(AL8&gt;5,0,1)</formula>
    </cfRule>
  </conditionalFormatting>
  <conditionalFormatting sqref="S24 S109">
    <cfRule type="expression" dxfId="1660" priority="81" stopIfTrue="1">
      <formula>IF(AL8&gt;5,0,1)</formula>
    </cfRule>
  </conditionalFormatting>
  <conditionalFormatting sqref="T24 T109">
    <cfRule type="expression" dxfId="1659" priority="82" stopIfTrue="1">
      <formula>IF(AL8&gt;5,0,1)</formula>
    </cfRule>
  </conditionalFormatting>
  <conditionalFormatting sqref="U23:W23 U108:W108">
    <cfRule type="expression" dxfId="1658" priority="83" stopIfTrue="1">
      <formula>IF(AL8&gt;6,0,1)</formula>
    </cfRule>
  </conditionalFormatting>
  <conditionalFormatting sqref="V24 V109">
    <cfRule type="expression" dxfId="1657" priority="84" stopIfTrue="1">
      <formula>IF(AL8&gt;6,0,1)</formula>
    </cfRule>
  </conditionalFormatting>
  <conditionalFormatting sqref="W24 W109">
    <cfRule type="expression" dxfId="1656" priority="85" stopIfTrue="1">
      <formula>IF(AL8&gt;6,0,1)</formula>
    </cfRule>
  </conditionalFormatting>
  <conditionalFormatting sqref="X23:Z23 X108:Z108">
    <cfRule type="expression" dxfId="1655" priority="86" stopIfTrue="1">
      <formula>IF(AL8&gt;7,0,1)</formula>
    </cfRule>
  </conditionalFormatting>
  <conditionalFormatting sqref="Y24 Y109">
    <cfRule type="expression" dxfId="1654" priority="87" stopIfTrue="1">
      <formula>IF(AL8&gt;7,0,1)</formula>
    </cfRule>
  </conditionalFormatting>
  <conditionalFormatting sqref="Z24 Z109">
    <cfRule type="expression" dxfId="1653" priority="88" stopIfTrue="1">
      <formula>IF(AL8&gt;7,0,1)</formula>
    </cfRule>
  </conditionalFormatting>
  <conditionalFormatting sqref="AA23:AC23 AA108:AC108">
    <cfRule type="expression" dxfId="1652" priority="89" stopIfTrue="1">
      <formula>IF(AL8&gt;8,0,1)</formula>
    </cfRule>
  </conditionalFormatting>
  <conditionalFormatting sqref="AB24 AB109">
    <cfRule type="expression" dxfId="1651" priority="90" stopIfTrue="1">
      <formula>IF(AL8&gt;8,0,1)</formula>
    </cfRule>
  </conditionalFormatting>
  <conditionalFormatting sqref="AC24 AC109">
    <cfRule type="expression" dxfId="1650" priority="91" stopIfTrue="1">
      <formula>IF(AL8&gt;8,0,1)</formula>
    </cfRule>
  </conditionalFormatting>
  <conditionalFormatting sqref="AD23:AF23 AD108:AF108">
    <cfRule type="expression" dxfId="1649" priority="92" stopIfTrue="1">
      <formula>IF(AL8&gt;9,0,1)</formula>
    </cfRule>
  </conditionalFormatting>
  <conditionalFormatting sqref="AE24 AE109">
    <cfRule type="expression" dxfId="1648" priority="93" stopIfTrue="1">
      <formula>IF(AL8&gt;9,0,1)</formula>
    </cfRule>
  </conditionalFormatting>
  <conditionalFormatting sqref="AF24 AF109">
    <cfRule type="expression" dxfId="1647" priority="94" stopIfTrue="1">
      <formula>IF(AL8&gt;9,0,1)</formula>
    </cfRule>
  </conditionalFormatting>
  <conditionalFormatting sqref="A26 A111">
    <cfRule type="expression" dxfId="1646" priority="95" stopIfTrue="1">
      <formula>IF(AL7&gt;1,0,1)</formula>
    </cfRule>
  </conditionalFormatting>
  <conditionalFormatting sqref="A27 A112">
    <cfRule type="expression" dxfId="1645" priority="96" stopIfTrue="1">
      <formula>IF(AL7&gt;2,0,1)</formula>
    </cfRule>
  </conditionalFormatting>
  <conditionalFormatting sqref="A28 A113">
    <cfRule type="expression" dxfId="1644" priority="97" stopIfTrue="1">
      <formula>IF(AL7&gt;3,0,1)</formula>
    </cfRule>
  </conditionalFormatting>
  <conditionalFormatting sqref="A29 A114">
    <cfRule type="expression" dxfId="1643" priority="98" stopIfTrue="1">
      <formula>IF(AL7&gt;4,0,1)</formula>
    </cfRule>
  </conditionalFormatting>
  <conditionalFormatting sqref="B25:D25 B110:D110">
    <cfRule type="expression" dxfId="1642" priority="99" stopIfTrue="1">
      <formula>IF($AL8&gt;0,0,1)</formula>
    </cfRule>
  </conditionalFormatting>
  <conditionalFormatting sqref="B26:D26 B111:D111">
    <cfRule type="expression" dxfId="1641" priority="100" stopIfTrue="1">
      <formula>IF($AL8&lt;1,1,IF($AL7&lt;2,1,0))</formula>
    </cfRule>
  </conditionalFormatting>
  <conditionalFormatting sqref="B27:D27 B112:D112">
    <cfRule type="expression" dxfId="1640" priority="101" stopIfTrue="1">
      <formula>IF($AL8&lt;1,1,IF($AL7&lt;3,1,0))</formula>
    </cfRule>
  </conditionalFormatting>
  <conditionalFormatting sqref="B28:D28 B113:D113">
    <cfRule type="expression" dxfId="1639" priority="102" stopIfTrue="1">
      <formula>IF($AL8&lt;1,1,IF($AL7&lt;4,1,0))</formula>
    </cfRule>
  </conditionalFormatting>
  <conditionalFormatting sqref="B29:D29 B114:D114">
    <cfRule type="expression" dxfId="1638" priority="103" stopIfTrue="1">
      <formula>IF($AL8&lt;1,1,IF($AL7&lt;5,1,0))</formula>
    </cfRule>
  </conditionalFormatting>
  <conditionalFormatting sqref="AG26 AG111">
    <cfRule type="expression" dxfId="1637" priority="104" stopIfTrue="1">
      <formula>IF($AL9&gt;2,0,1)</formula>
    </cfRule>
  </conditionalFormatting>
  <conditionalFormatting sqref="AG25 AG110">
    <cfRule type="expression" dxfId="1636" priority="105" stopIfTrue="1">
      <formula>IF($AL9&gt;1,0,1)</formula>
    </cfRule>
  </conditionalFormatting>
  <conditionalFormatting sqref="AG24 AG109">
    <cfRule type="expression" dxfId="1635" priority="106" stopIfTrue="1">
      <formula>IF($AL9&gt;0,0,1)</formula>
    </cfRule>
  </conditionalFormatting>
  <conditionalFormatting sqref="AG27 AG112">
    <cfRule type="expression" dxfId="1634" priority="107" stopIfTrue="1">
      <formula>IF($AL9&gt;3,0,1)</formula>
    </cfRule>
  </conditionalFormatting>
  <conditionalFormatting sqref="AG28 AG113">
    <cfRule type="expression" dxfId="1633" priority="108" stopIfTrue="1">
      <formula>IF($AL9&gt;4,0,1)</formula>
    </cfRule>
  </conditionalFormatting>
  <conditionalFormatting sqref="AH23 AH108">
    <cfRule type="expression" dxfId="1632" priority="109" stopIfTrue="1">
      <formula>IF($AL8&lt;1,1,0)</formula>
    </cfRule>
  </conditionalFormatting>
  <conditionalFormatting sqref="AI23 AI108">
    <cfRule type="expression" dxfId="1631" priority="110" stopIfTrue="1">
      <formula>IF($AL8&lt;2,1,0)</formula>
    </cfRule>
  </conditionalFormatting>
  <conditionalFormatting sqref="AJ23 AJ108">
    <cfRule type="expression" dxfId="1630" priority="111" stopIfTrue="1">
      <formula>IF($AL8&lt;3,1,0)</formula>
    </cfRule>
  </conditionalFormatting>
  <conditionalFormatting sqref="AK23 AK108">
    <cfRule type="expression" dxfId="1629" priority="112" stopIfTrue="1">
      <formula>IF($AL8&lt;4,1,0)</formula>
    </cfRule>
  </conditionalFormatting>
  <conditionalFormatting sqref="AL23 AL108">
    <cfRule type="expression" dxfId="1628" priority="113" stopIfTrue="1">
      <formula>IF($AL8&lt;5,1,0)</formula>
    </cfRule>
  </conditionalFormatting>
  <conditionalFormatting sqref="AM23 AM108">
    <cfRule type="expression" dxfId="1627" priority="114" stopIfTrue="1">
      <formula>IF($AL8&lt;6,1,0)</formula>
    </cfRule>
  </conditionalFormatting>
  <conditionalFormatting sqref="AN23 AN108">
    <cfRule type="expression" dxfId="1626" priority="115" stopIfTrue="1">
      <formula>IF($AL8&lt;7,1,0)</formula>
    </cfRule>
  </conditionalFormatting>
  <conditionalFormatting sqref="AO23 AO108">
    <cfRule type="expression" dxfId="1625" priority="116" stopIfTrue="1">
      <formula>IF($AL8&lt;8,1,0)</formula>
    </cfRule>
  </conditionalFormatting>
  <conditionalFormatting sqref="AP23 AP108">
    <cfRule type="expression" dxfId="1624" priority="117" stopIfTrue="1">
      <formula>IF($AL8&lt;9,1,0)</formula>
    </cfRule>
  </conditionalFormatting>
  <conditionalFormatting sqref="AQ23 AQ108">
    <cfRule type="expression" dxfId="1623" priority="118" stopIfTrue="1">
      <formula>IF($AL8&lt;10,1,0)</formula>
    </cfRule>
  </conditionalFormatting>
  <conditionalFormatting sqref="AR24 AR109">
    <cfRule type="expression" dxfId="1622" priority="119" stopIfTrue="1">
      <formula>IF($AL9&gt;0,0,1)</formula>
    </cfRule>
  </conditionalFormatting>
  <conditionalFormatting sqref="AR25 AR110">
    <cfRule type="expression" dxfId="1621" priority="120" stopIfTrue="1">
      <formula>IF($AL9&gt;1,0,1)</formula>
    </cfRule>
  </conditionalFormatting>
  <conditionalFormatting sqref="AR26 H25:J25 AR111 H110:J110">
    <cfRule type="expression" dxfId="1620" priority="121" stopIfTrue="1">
      <formula>IF($AL8&gt;2,0,1)</formula>
    </cfRule>
  </conditionalFormatting>
  <conditionalFormatting sqref="L25:N25 L110:N110">
    <cfRule type="expression" dxfId="1619" priority="122" stopIfTrue="1">
      <formula>IF($AL8&gt;3,0,1)</formula>
    </cfRule>
  </conditionalFormatting>
  <conditionalFormatting sqref="AR28 AR113">
    <cfRule type="expression" dxfId="1618" priority="123" stopIfTrue="1">
      <formula>IF($AL9&gt;4,0,1)</formula>
    </cfRule>
  </conditionalFormatting>
  <conditionalFormatting sqref="E26:G26 E111:G111">
    <cfRule type="expression" dxfId="1617" priority="124" stopIfTrue="1">
      <formula>IF($AL8&lt;2,1,IF($AL7&lt;2,1,0))</formula>
    </cfRule>
  </conditionalFormatting>
  <conditionalFormatting sqref="E27:G27 E112:G112">
    <cfRule type="expression" dxfId="1616" priority="125" stopIfTrue="1">
      <formula>IF($AL8&lt;2,1,IF($AL7&lt;3,1,0))</formula>
    </cfRule>
  </conditionalFormatting>
  <conditionalFormatting sqref="E28:G28 E113:G113">
    <cfRule type="expression" dxfId="1615" priority="126" stopIfTrue="1">
      <formula>IF($AL8&lt;2,1,IF($AL7&lt;4,1,0))</formula>
    </cfRule>
  </conditionalFormatting>
  <conditionalFormatting sqref="E29:G29 E114:G114">
    <cfRule type="expression" dxfId="1614" priority="127" stopIfTrue="1">
      <formula>IF($AL8&lt;2,1,IF($AL7&lt;5,1,0))</formula>
    </cfRule>
  </conditionalFormatting>
  <conditionalFormatting sqref="O25:Q25 O110:Q110">
    <cfRule type="expression" dxfId="1613" priority="128" stopIfTrue="1">
      <formula>IF($AL8&gt;4,0,1)</formula>
    </cfRule>
  </conditionalFormatting>
  <conditionalFormatting sqref="R25:T25 R110:T110">
    <cfRule type="expression" dxfId="1612" priority="129" stopIfTrue="1">
      <formula>IF($AL8&gt;5,0,1)</formula>
    </cfRule>
  </conditionalFormatting>
  <conditionalFormatting sqref="U25:W25 U110:W110">
    <cfRule type="expression" dxfId="1611" priority="130" stopIfTrue="1">
      <formula>IF($AL8&gt;6,0,1)</formula>
    </cfRule>
  </conditionalFormatting>
  <conditionalFormatting sqref="X25:Z25 X110:Z110">
    <cfRule type="expression" dxfId="1610" priority="131" stopIfTrue="1">
      <formula>IF($AL8&gt;7,0,1)</formula>
    </cfRule>
  </conditionalFormatting>
  <conditionalFormatting sqref="AA25:AC25 AA110:AC110">
    <cfRule type="expression" dxfId="1609" priority="132" stopIfTrue="1">
      <formula>IF($AL8&gt;8,0,1)</formula>
    </cfRule>
  </conditionalFormatting>
  <conditionalFormatting sqref="AD25:AF25 AD110:AF110">
    <cfRule type="expression" dxfId="1608" priority="133" stopIfTrue="1">
      <formula>IF($AL8&gt;9,0,1)</formula>
    </cfRule>
  </conditionalFormatting>
  <conditionalFormatting sqref="H26:J26 H111:J111">
    <cfRule type="expression" dxfId="1607" priority="134" stopIfTrue="1">
      <formula>IF($AL8&lt;3,1,IF($AL7&lt;2,1,0))</formula>
    </cfRule>
  </conditionalFormatting>
  <conditionalFormatting sqref="L26:N26 L111:N111">
    <cfRule type="expression" dxfId="1606" priority="135" stopIfTrue="1">
      <formula>IF($AL8&lt;4,1,IF($AL7&lt;2,1,0))</formula>
    </cfRule>
  </conditionalFormatting>
  <conditionalFormatting sqref="O26:Q26 O111:Q111">
    <cfRule type="expression" dxfId="1605" priority="136" stopIfTrue="1">
      <formula>IF($AL8&lt;5,1,IF($AL7&lt;2,1,0))</formula>
    </cfRule>
  </conditionalFormatting>
  <conditionalFormatting sqref="R26:T26 R111:T111">
    <cfRule type="expression" dxfId="1604" priority="137" stopIfTrue="1">
      <formula>IF($AL8&lt;6,1,IF($AL7&lt;2,1,0))</formula>
    </cfRule>
  </conditionalFormatting>
  <conditionalFormatting sqref="U26:W26 U111:W111">
    <cfRule type="expression" dxfId="1603" priority="138" stopIfTrue="1">
      <formula>IF($AL8&lt;7,1,IF($AL7&lt;2,1,0))</formula>
    </cfRule>
  </conditionalFormatting>
  <conditionalFormatting sqref="X26:Z26 X111:Z111">
    <cfRule type="expression" dxfId="1602" priority="139" stopIfTrue="1">
      <formula>IF($AL8&lt;8,1,IF($AL7&lt;2,1,0))</formula>
    </cfRule>
  </conditionalFormatting>
  <conditionalFormatting sqref="AA26:AC26 AA111:AC111">
    <cfRule type="expression" dxfId="1601" priority="140" stopIfTrue="1">
      <formula>IF($AL8&lt;9,1,IF($AL7&lt;2,1,0))</formula>
    </cfRule>
  </conditionalFormatting>
  <conditionalFormatting sqref="AD26:AF26 AD111:AF111">
    <cfRule type="expression" dxfId="1600" priority="141" stopIfTrue="1">
      <formula>IF($AL8&lt;10,1,IF($AL7&lt;2,1,0))</formula>
    </cfRule>
  </conditionalFormatting>
  <conditionalFormatting sqref="H27:J27 H112:J112">
    <cfRule type="expression" dxfId="1599" priority="142" stopIfTrue="1">
      <formula>IF($AL8&lt;3,1,IF($AL7&lt;3,1,0))</formula>
    </cfRule>
  </conditionalFormatting>
  <conditionalFormatting sqref="L27:N27 L112:N112">
    <cfRule type="expression" dxfId="1598" priority="143" stopIfTrue="1">
      <formula>IF($AL8&lt;4,1,IF($AL7&lt;3,1,0))</formula>
    </cfRule>
  </conditionalFormatting>
  <conditionalFormatting sqref="O27:Q27 O112:Q112">
    <cfRule type="expression" dxfId="1597" priority="144" stopIfTrue="1">
      <formula>IF($AL8&lt;5,1,IF($AL7&lt;3,1,0))</formula>
    </cfRule>
  </conditionalFormatting>
  <conditionalFormatting sqref="R27:T27 R112:T112">
    <cfRule type="expression" dxfId="1596" priority="145" stopIfTrue="1">
      <formula>IF($AL8&lt;6,1,IF($AL7&lt;3,1,0))</formula>
    </cfRule>
  </conditionalFormatting>
  <conditionalFormatting sqref="U27:W27 U112:W112">
    <cfRule type="expression" dxfId="1595" priority="146" stopIfTrue="1">
      <formula>IF($AL8&lt;7,1,IF($AL7&lt;3,1,0))</formula>
    </cfRule>
  </conditionalFormatting>
  <conditionalFormatting sqref="X27:Z27 X112:Z112">
    <cfRule type="expression" dxfId="1594" priority="147" stopIfTrue="1">
      <formula>IF($AL8&lt;8,1,IF($AL7&lt;3,1,0))</formula>
    </cfRule>
  </conditionalFormatting>
  <conditionalFormatting sqref="AA27:AC27 AA112:AC112">
    <cfRule type="expression" dxfId="1593" priority="148" stopIfTrue="1">
      <formula>IF($AL8&lt;9,1,IF($AL7&lt;3,1,0))</formula>
    </cfRule>
  </conditionalFormatting>
  <conditionalFormatting sqref="AD27:AF27 AD112:AF112">
    <cfRule type="expression" dxfId="1592" priority="149" stopIfTrue="1">
      <formula>IF($AL8&lt;10,1,IF($AL7&lt;3,1,0))</formula>
    </cfRule>
  </conditionalFormatting>
  <conditionalFormatting sqref="H28:J28 H113:J113">
    <cfRule type="expression" dxfId="1591" priority="150" stopIfTrue="1">
      <formula>IF($AL8&lt;3,1,IF($AL7&lt;4,1,0))</formula>
    </cfRule>
  </conditionalFormatting>
  <conditionalFormatting sqref="L28:N28 L113:N113">
    <cfRule type="expression" dxfId="1590" priority="151" stopIfTrue="1">
      <formula>IF($AL8&lt;4,1,IF($AL7&lt;4,1,0))</formula>
    </cfRule>
  </conditionalFormatting>
  <conditionalFormatting sqref="O28:Q28 O113:Q113">
    <cfRule type="expression" dxfId="1589" priority="152" stopIfTrue="1">
      <formula>IF($AL8&lt;5,1,IF($AL7&lt;4,1,0))</formula>
    </cfRule>
  </conditionalFormatting>
  <conditionalFormatting sqref="R28:T28 R113:T113">
    <cfRule type="expression" dxfId="1588" priority="153" stopIfTrue="1">
      <formula>IF($AL8&lt;6,1,IF($AL7&lt;4,1,0))</formula>
    </cfRule>
  </conditionalFormatting>
  <conditionalFormatting sqref="U28:W28 U113:W113">
    <cfRule type="expression" dxfId="1587" priority="154" stopIfTrue="1">
      <formula>IF($AL8&lt;7,1,IF($AL7&lt;4,1,0))</formula>
    </cfRule>
  </conditionalFormatting>
  <conditionalFormatting sqref="X28:Z28 X113:Z113">
    <cfRule type="expression" dxfId="1586" priority="155" stopIfTrue="1">
      <formula>IF($AL8&lt;8,1,IF($AL7&lt;4,1,0))</formula>
    </cfRule>
  </conditionalFormatting>
  <conditionalFormatting sqref="AA28:AC28 AA113:AC113">
    <cfRule type="expression" dxfId="1585" priority="156" stopIfTrue="1">
      <formula>IF($AL8&lt;9,1,IF($AL7&lt;4,1,0))</formula>
    </cfRule>
  </conditionalFormatting>
  <conditionalFormatting sqref="AD28:AF28 AD113:AF113">
    <cfRule type="expression" dxfId="1584" priority="157" stopIfTrue="1">
      <formula>IF($AL8&lt;10,1,IF($AL7&lt;4,1,0))</formula>
    </cfRule>
  </conditionalFormatting>
  <conditionalFormatting sqref="H29:J29 H114:J114">
    <cfRule type="expression" dxfId="1583" priority="158" stopIfTrue="1">
      <formula>IF($AL8&lt;3,1,IF($AL7&lt;5,1,0))</formula>
    </cfRule>
  </conditionalFormatting>
  <conditionalFormatting sqref="L29:N29 L114:N114">
    <cfRule type="expression" dxfId="1582" priority="159" stopIfTrue="1">
      <formula>IF($AL8&lt;4,1,IF($AL7&lt;5,1,0))</formula>
    </cfRule>
  </conditionalFormatting>
  <conditionalFormatting sqref="O29:Q29 O114:Q114">
    <cfRule type="expression" dxfId="1581" priority="160" stopIfTrue="1">
      <formula>IF($AL8&lt;5,1,IF($AL7&lt;5,1,0))</formula>
    </cfRule>
  </conditionalFormatting>
  <conditionalFormatting sqref="R29:T29 R114:T114">
    <cfRule type="expression" dxfId="1580" priority="161" stopIfTrue="1">
      <formula>IF($AL8&lt;6,1,IF($AL7&lt;5,1,0))</formula>
    </cfRule>
  </conditionalFormatting>
  <conditionalFormatting sqref="U29:W29 U114:W114">
    <cfRule type="expression" dxfId="1579" priority="162" stopIfTrue="1">
      <formula>IF($AL8&lt;7,1,IF($AL7&lt;5,1,0))</formula>
    </cfRule>
  </conditionalFormatting>
  <conditionalFormatting sqref="X29:Z29 X114:Z114">
    <cfRule type="expression" dxfId="1578" priority="163" stopIfTrue="1">
      <formula>IF($AL8&lt;8,1,IF($AL7&lt;5,1,0))</formula>
    </cfRule>
  </conditionalFormatting>
  <conditionalFormatting sqref="AA29:AC29 AA114:AC114">
    <cfRule type="expression" dxfId="1577" priority="164" stopIfTrue="1">
      <formula>IF($AL8&lt;9,1,IF($AL7&lt;5,1,0))</formula>
    </cfRule>
  </conditionalFormatting>
  <conditionalFormatting sqref="AD29:AF29 AD114:AF114">
    <cfRule type="expression" dxfId="1576" priority="165" stopIfTrue="1">
      <formula>IF($AL8&lt;10,1,IF($AL7&lt;5,1,0))</formula>
    </cfRule>
  </conditionalFormatting>
  <conditionalFormatting sqref="S14:AC15 M14:Q15 S99:AC100 M99:Q100 AG99:AH100 AG14:AH15">
    <cfRule type="expression" dxfId="1575" priority="166" stopIfTrue="1">
      <formula>IF($AL9&gt;3,0,1)</formula>
    </cfRule>
  </conditionalFormatting>
  <conditionalFormatting sqref="S16:AC17 M16:Q17 S101:AC102 M101:Q102 AG101:AH102 AG16:AH17">
    <cfRule type="expression" dxfId="1574" priority="167" stopIfTrue="1">
      <formula>IF($AL9&gt;4,0,1)</formula>
    </cfRule>
  </conditionalFormatting>
  <conditionalFormatting sqref="S8:AC9 M8:Q9 S93:AC94 M93:Q94 AG93:AH94 AG8:AH9">
    <cfRule type="expression" dxfId="1573" priority="168" stopIfTrue="1">
      <formula>IF($AL9&gt;0,0,1)</formula>
    </cfRule>
  </conditionalFormatting>
  <conditionalFormatting sqref="S10:AC11 M10:Q11 S95:AC96 M95:Q96 AG95:AH96 AG10:AH11">
    <cfRule type="expression" dxfId="1572" priority="169" stopIfTrue="1">
      <formula>IF($AL9&gt;1,0,1)</formula>
    </cfRule>
  </conditionalFormatting>
  <conditionalFormatting sqref="S12:AC13 M12:Q13 S97:AC98 M97:Q98 AG97:AH98 AG12:AH13">
    <cfRule type="expression" dxfId="1571" priority="170" stopIfTrue="1">
      <formula>IF($AL9&gt;2,0,1)</formula>
    </cfRule>
  </conditionalFormatting>
  <conditionalFormatting sqref="E24 E109">
    <cfRule type="expression" dxfId="1570" priority="171" stopIfTrue="1">
      <formula>IF(AL8&gt;1,0,1)</formula>
    </cfRule>
  </conditionalFormatting>
  <conditionalFormatting sqref="H24 H109">
    <cfRule type="expression" dxfId="1569" priority="172" stopIfTrue="1">
      <formula>IF(AL8&gt;2,0,1)</formula>
    </cfRule>
  </conditionalFormatting>
  <conditionalFormatting sqref="L24 L109">
    <cfRule type="expression" dxfId="1568" priority="173" stopIfTrue="1">
      <formula>IF(AL8&gt;3,0,1)</formula>
    </cfRule>
  </conditionalFormatting>
  <conditionalFormatting sqref="O24 O109">
    <cfRule type="expression" dxfId="1567" priority="174" stopIfTrue="1">
      <formula>IF(AL8&gt;4,0,1)</formula>
    </cfRule>
  </conditionalFormatting>
  <conditionalFormatting sqref="R24 R109">
    <cfRule type="expression" dxfId="1566" priority="175" stopIfTrue="1">
      <formula>IF(AL8&gt;5,0,1)</formula>
    </cfRule>
  </conditionalFormatting>
  <conditionalFormatting sqref="U24 U109">
    <cfRule type="expression" dxfId="1565" priority="176" stopIfTrue="1">
      <formula>IF(AL8&gt;6,0,1)</formula>
    </cfRule>
  </conditionalFormatting>
  <conditionalFormatting sqref="X24 X109">
    <cfRule type="expression" dxfId="1564" priority="177" stopIfTrue="1">
      <formula>IF(AL8&gt;7,0,1)</formula>
    </cfRule>
  </conditionalFormatting>
  <conditionalFormatting sqref="AA24 AA109">
    <cfRule type="expression" dxfId="1563" priority="178" stopIfTrue="1">
      <formula>IF(AL8&gt;8,0,1)</formula>
    </cfRule>
  </conditionalFormatting>
  <conditionalFormatting sqref="AD24 AD109">
    <cfRule type="expression" dxfId="1562" priority="179" stopIfTrue="1">
      <formula>IF(AL8&gt;9,0,1)</formula>
    </cfRule>
  </conditionalFormatting>
  <conditionalFormatting sqref="AR27 AR112">
    <cfRule type="expression" dxfId="1561" priority="180" stopIfTrue="1">
      <formula>IF($AL9&gt;3,0,1)</formula>
    </cfRule>
  </conditionalFormatting>
  <conditionalFormatting sqref="E25:G25 E110:G110">
    <cfRule type="expression" dxfId="1560" priority="181" stopIfTrue="1">
      <formula>IF($AL8&gt;1,0,1)</formula>
    </cfRule>
  </conditionalFormatting>
  <conditionalFormatting sqref="B21:D21 B106:D106">
    <cfRule type="expression" dxfId="1559" priority="182" stopIfTrue="1">
      <formula>IF(AL8&gt;0,0,1)</formula>
    </cfRule>
  </conditionalFormatting>
  <conditionalFormatting sqref="E21:G21 E106:G106">
    <cfRule type="expression" dxfId="1558" priority="183" stopIfTrue="1">
      <formula>IF(AL8&gt;1,0,1)</formula>
    </cfRule>
  </conditionalFormatting>
  <conditionalFormatting sqref="H21:K21 H106:K106">
    <cfRule type="expression" dxfId="1557" priority="184" stopIfTrue="1">
      <formula>IF(AL8&gt;2,0,1)</formula>
    </cfRule>
  </conditionalFormatting>
  <conditionalFormatting sqref="L21:N21 L106:N106">
    <cfRule type="expression" dxfId="1556" priority="185" stopIfTrue="1">
      <formula>IF(AL8&gt;3,0,1)</formula>
    </cfRule>
  </conditionalFormatting>
  <conditionalFormatting sqref="O21:Q21 O106:Q106">
    <cfRule type="expression" dxfId="1555" priority="186" stopIfTrue="1">
      <formula>IF(AL8&gt;4,0,1)</formula>
    </cfRule>
  </conditionalFormatting>
  <conditionalFormatting sqref="R21:T21 R106:T106">
    <cfRule type="expression" dxfId="1554" priority="187" stopIfTrue="1">
      <formula>IF(AL8&gt;5,0,1)</formula>
    </cfRule>
  </conditionalFormatting>
  <conditionalFormatting sqref="U21:W21 U106:W106">
    <cfRule type="expression" dxfId="1553" priority="188" stopIfTrue="1">
      <formula>IF(AL8&gt;6,0,1)</formula>
    </cfRule>
  </conditionalFormatting>
  <conditionalFormatting sqref="X21:Z21 X106:Z106">
    <cfRule type="expression" dxfId="1552" priority="189" stopIfTrue="1">
      <formula>IF(AL8&gt;7,0,1)</formula>
    </cfRule>
  </conditionalFormatting>
  <conditionalFormatting sqref="AA21:AC21 AA106:AC106">
    <cfRule type="expression" dxfId="1551" priority="190" stopIfTrue="1">
      <formula>IF(AL8&gt;8,0,1)</formula>
    </cfRule>
  </conditionalFormatting>
  <conditionalFormatting sqref="AD21:AF21 AD106:AF106">
    <cfRule type="expression" dxfId="1550" priority="191" stopIfTrue="1">
      <formula>IF(AL8&gt;9,0,1)</formula>
    </cfRule>
  </conditionalFormatting>
  <conditionalFormatting sqref="B215:B216 C215:D215 B218:D223 C224:C225 AE223:AE225 E219:J222 Y224:Y225 X215:X216 Y215:Z215 X218:Z223 AA219:AF222 AB223:AB225 I223:I225 F223:F225">
    <cfRule type="expression" dxfId="1549" priority="192" stopIfTrue="1">
      <formula>IF(#REF!&gt;0,0,1)</formula>
    </cfRule>
  </conditionalFormatting>
  <conditionalFormatting sqref="H223 H215:H218 I215:K215 I218:J218 J223 AD215:AD218 AE215:AF215 AF223 AE218:AF218 AD223">
    <cfRule type="expression" dxfId="1548" priority="193" stopIfTrue="1">
      <formula>IF(#REF!&gt;2,0,1)</formula>
    </cfRule>
  </conditionalFormatting>
  <conditionalFormatting sqref="H224 J224 AD224 AF224">
    <cfRule type="expression" dxfId="1547" priority="194" stopIfTrue="1">
      <formula>IF(#REF!&lt;3,1,IF(#REF!&lt;2,1,0))</formula>
    </cfRule>
  </conditionalFormatting>
  <conditionalFormatting sqref="J225 AD225 AF225 H225">
    <cfRule type="expression" dxfId="1546" priority="195" stopIfTrue="1">
      <formula>IF(#REF!&lt;3,1,IF(#REF!&lt;3,1,0))</formula>
    </cfRule>
  </conditionalFormatting>
  <conditionalFormatting sqref="G223 F218:G218 E223 E215:E218 AB215:AC215 AC223 AB218:AC218 AA223 AA215:AA218 F215:G215">
    <cfRule type="expression" dxfId="1545" priority="196" stopIfTrue="1">
      <formula>IF(#REF!&gt;1,0,1)</formula>
    </cfRule>
  </conditionalFormatting>
  <conditionalFormatting sqref="B224 D224 X224 Z224">
    <cfRule type="expression" dxfId="1544" priority="197" stopIfTrue="1">
      <formula>IF(#REF!&lt;1,1,IF(#REF!&lt;2,1,0))</formula>
    </cfRule>
  </conditionalFormatting>
  <conditionalFormatting sqref="E224 G224 AA224 AC224">
    <cfRule type="expression" dxfId="1543" priority="198" stopIfTrue="1">
      <formula>IF(#REF!&lt;2,1,IF(#REF!&lt;2,1,0))</formula>
    </cfRule>
  </conditionalFormatting>
  <conditionalFormatting sqref="D225 X225 Z225 B225">
    <cfRule type="expression" dxfId="1542" priority="199" stopIfTrue="1">
      <formula>IF(#REF!&lt;1,1,IF(#REF!&lt;3,1,0))</formula>
    </cfRule>
  </conditionalFormatting>
  <conditionalFormatting sqref="G225 AA225 AC225 E225">
    <cfRule type="expression" dxfId="1541" priority="200" stopIfTrue="1">
      <formula>IF(#REF!&lt;2,1,IF(#REF!&lt;3,1,0))</formula>
    </cfRule>
  </conditionalFormatting>
  <conditionalFormatting sqref="AH24:AQ28 AH109:AQ113">
    <cfRule type="cellIs" dxfId="1540" priority="201" stopIfTrue="1" operator="notBetween">
      <formula>-9999</formula>
      <formula>9999</formula>
    </cfRule>
  </conditionalFormatting>
  <conditionalFormatting sqref="B22:D23 B107:D108">
    <cfRule type="cellIs" dxfId="1539" priority="202" stopIfTrue="1" operator="equal">
      <formula>99</formula>
    </cfRule>
  </conditionalFormatting>
  <conditionalFormatting sqref="AD7 AD92">
    <cfRule type="expression" dxfId="1538" priority="203" stopIfTrue="1">
      <formula>IF($AL$11=0,1,0)</formula>
    </cfRule>
  </conditionalFormatting>
  <conditionalFormatting sqref="B18 B103">
    <cfRule type="expression" dxfId="1537" priority="204" stopIfTrue="1">
      <formula>IF($AL$179&gt;0,0,1)</formula>
    </cfRule>
  </conditionalFormatting>
  <conditionalFormatting sqref="C226 F226 Y226 AB226">
    <cfRule type="expression" dxfId="1536" priority="205" stopIfTrue="1">
      <formula>IF(#REF!&gt;0,0,1)</formula>
    </cfRule>
  </conditionalFormatting>
  <pageMargins left="0.25" right="0.25" top="0.25" bottom="0.25" header="0" footer="0"/>
  <pageSetup scale="78" fitToHeight="3" orientation="landscape" r:id="rId1"/>
  <headerFooter alignWithMargins="0"/>
  <rowBreaks count="1" manualBreakCount="1">
    <brk id="90" max="43" man="1"/>
  </rowBreaks>
  <drawing r:id="rId2"/>
  <legacyDrawing r:id="rId3"/>
  <controls>
    <mc:AlternateContent xmlns:mc="http://schemas.openxmlformats.org/markup-compatibility/2006">
      <mc:Choice Requires="x14">
        <control shapeId="5122" r:id="rId4" name="Pool2RecalcFinish">
          <controlPr defaultSize="0" autoLine="0" autoPict="0" r:id="rId5">
            <anchor moveWithCells="1" sizeWithCells="1">
              <from>
                <xdr:col>37</xdr:col>
                <xdr:colOff>106680</xdr:colOff>
                <xdr:row>98</xdr:row>
                <xdr:rowOff>7620</xdr:rowOff>
              </from>
              <to>
                <xdr:col>42</xdr:col>
                <xdr:colOff>228600</xdr:colOff>
                <xdr:row>101</xdr:row>
                <xdr:rowOff>106680</xdr:rowOff>
              </to>
            </anchor>
          </controlPr>
        </control>
      </mc:Choice>
      <mc:Fallback>
        <control shapeId="5122" r:id="rId4" name="Pool2RecalcFinish"/>
      </mc:Fallback>
    </mc:AlternateContent>
    <mc:AlternateContent xmlns:mc="http://schemas.openxmlformats.org/markup-compatibility/2006">
      <mc:Choice Requires="x14">
        <control shapeId="5121" r:id="rId6" name="Pool1RecalcFinish">
          <controlPr defaultSize="0" autoLine="0" autoPict="0" r:id="rId7">
            <anchor moveWithCells="1" sizeWithCells="1">
              <from>
                <xdr:col>37</xdr:col>
                <xdr:colOff>106680</xdr:colOff>
                <xdr:row>13</xdr:row>
                <xdr:rowOff>7620</xdr:rowOff>
              </from>
              <to>
                <xdr:col>42</xdr:col>
                <xdr:colOff>228600</xdr:colOff>
                <xdr:row>16</xdr:row>
                <xdr:rowOff>106680</xdr:rowOff>
              </to>
            </anchor>
          </controlPr>
        </control>
      </mc:Choice>
      <mc:Fallback>
        <control shapeId="5121" r:id="rId6" name="Pool1RecalcFinish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>
    <tabColor indexed="11"/>
  </sheetPr>
  <dimension ref="A1:CC430"/>
  <sheetViews>
    <sheetView topLeftCell="Q1" zoomScale="85" zoomScaleNormal="85" workbookViewId="0">
      <selection activeCell="AU5" sqref="AU5:AV9"/>
    </sheetView>
  </sheetViews>
  <sheetFormatPr defaultRowHeight="13.2" x14ac:dyDescent="0.25"/>
  <cols>
    <col min="2" max="2" width="3.6640625" customWidth="1"/>
    <col min="3" max="3" width="2.33203125" customWidth="1"/>
    <col min="4" max="5" width="3.6640625" customWidth="1"/>
    <col min="6" max="6" width="2.33203125" customWidth="1"/>
    <col min="7" max="8" width="3.6640625" customWidth="1"/>
    <col min="9" max="9" width="2.33203125" customWidth="1"/>
    <col min="10" max="12" width="3.6640625" customWidth="1"/>
    <col min="13" max="13" width="2.33203125" customWidth="1"/>
    <col min="14" max="15" width="3.6640625" customWidth="1"/>
    <col min="16" max="16" width="2.33203125" customWidth="1"/>
    <col min="17" max="18" width="3.6640625" customWidth="1"/>
    <col min="19" max="19" width="2.33203125" customWidth="1"/>
    <col min="20" max="21" width="3.6640625" customWidth="1"/>
    <col min="22" max="22" width="2.33203125" customWidth="1"/>
    <col min="23" max="24" width="3.6640625" customWidth="1"/>
    <col min="25" max="25" width="2.33203125" customWidth="1"/>
    <col min="26" max="27" width="3.6640625" customWidth="1"/>
    <col min="28" max="28" width="2.33203125" customWidth="1"/>
    <col min="29" max="30" width="3.6640625" customWidth="1"/>
    <col min="31" max="31" width="2.33203125" customWidth="1"/>
    <col min="32" max="32" width="3.6640625" customWidth="1"/>
    <col min="33" max="33" width="9.6640625" customWidth="1"/>
    <col min="34" max="43" width="3.6640625" customWidth="1"/>
    <col min="44" max="44" width="11" customWidth="1"/>
    <col min="47" max="47" width="24.44140625" customWidth="1"/>
    <col min="48" max="48" width="15.88671875" customWidth="1"/>
    <col min="49" max="49" width="14.33203125" bestFit="1" customWidth="1"/>
    <col min="50" max="50" width="9.6640625" bestFit="1" customWidth="1"/>
    <col min="51" max="51" width="10" customWidth="1"/>
    <col min="52" max="52" width="25" customWidth="1"/>
    <col min="53" max="53" width="6" customWidth="1"/>
  </cols>
  <sheetData>
    <row r="1" spans="1:53" ht="13.8" thickBot="1" x14ac:dyDescent="0.3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64" t="s">
        <v>1</v>
      </c>
      <c r="AS1" s="3"/>
      <c r="AT1" s="167" t="s">
        <v>2</v>
      </c>
      <c r="AU1" s="168"/>
      <c r="AV1" s="168"/>
      <c r="AW1" s="169"/>
      <c r="AX1" s="170" t="s">
        <v>3</v>
      </c>
      <c r="AY1" s="171"/>
      <c r="AZ1" s="4" t="s">
        <v>4</v>
      </c>
      <c r="BA1" s="5">
        <v>32</v>
      </c>
    </row>
    <row r="2" spans="1:53" ht="18.75" customHeight="1" thickBot="1" x14ac:dyDescent="0.35">
      <c r="A2" s="164"/>
      <c r="B2" s="6" t="s">
        <v>5</v>
      </c>
      <c r="C2" s="7"/>
      <c r="D2" s="7"/>
      <c r="E2" s="8"/>
      <c r="F2" s="8"/>
      <c r="G2" s="9"/>
      <c r="H2" s="8"/>
      <c r="I2" s="10"/>
      <c r="J2" s="172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4"/>
      <c r="V2" s="175" t="s">
        <v>6</v>
      </c>
      <c r="W2" s="176"/>
      <c r="X2" s="177"/>
      <c r="Y2" s="178"/>
      <c r="Z2" s="179"/>
      <c r="AA2" s="179"/>
      <c r="AB2" s="179"/>
      <c r="AC2" s="179"/>
      <c r="AD2" s="179"/>
      <c r="AE2" s="179"/>
      <c r="AF2" s="180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3"/>
      <c r="AT2" s="12" t="s">
        <v>7</v>
      </c>
      <c r="AU2" s="13" t="s">
        <v>8</v>
      </c>
      <c r="AV2" s="14" t="s">
        <v>9</v>
      </c>
      <c r="AW2" s="165" t="s">
        <v>10</v>
      </c>
      <c r="AX2" s="16" t="s">
        <v>11</v>
      </c>
      <c r="AY2" s="165" t="s">
        <v>12</v>
      </c>
      <c r="AZ2" s="4" t="s">
        <v>13</v>
      </c>
      <c r="BA2" s="5">
        <v>16</v>
      </c>
    </row>
    <row r="3" spans="1:53" ht="18.75" customHeight="1" thickBot="1" x14ac:dyDescent="0.35">
      <c r="A3" s="164"/>
      <c r="B3" s="196" t="s">
        <v>14</v>
      </c>
      <c r="C3" s="197"/>
      <c r="D3" s="198"/>
      <c r="E3" s="199"/>
      <c r="F3" s="199"/>
      <c r="G3" s="199"/>
      <c r="H3" s="199"/>
      <c r="I3" s="199"/>
      <c r="J3" s="199"/>
      <c r="K3" s="199"/>
      <c r="L3" s="200"/>
      <c r="M3" s="201" t="s">
        <v>15</v>
      </c>
      <c r="N3" s="202"/>
      <c r="O3" s="203"/>
      <c r="P3" s="204"/>
      <c r="Q3" s="205"/>
      <c r="R3" s="206"/>
      <c r="S3" s="206"/>
      <c r="T3" s="206"/>
      <c r="U3" s="207"/>
      <c r="V3" s="208" t="s">
        <v>16</v>
      </c>
      <c r="W3" s="209"/>
      <c r="X3" s="209"/>
      <c r="Y3" s="209"/>
      <c r="Z3" s="209"/>
      <c r="AA3" s="210"/>
      <c r="AB3" s="156"/>
      <c r="AC3" s="181" t="s">
        <v>17</v>
      </c>
      <c r="AD3" s="181"/>
      <c r="AE3" s="181" t="s">
        <v>18</v>
      </c>
      <c r="AF3" s="182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3"/>
      <c r="AT3" s="18">
        <v>1</v>
      </c>
      <c r="AU3" s="418" t="s">
        <v>155</v>
      </c>
      <c r="AV3" s="418" t="s">
        <v>156</v>
      </c>
      <c r="AW3" s="21">
        <f>VLOOKUP(AV3,Initial!G:K,5,FALSE)</f>
        <v>1200</v>
      </c>
      <c r="AX3" s="22">
        <f t="shared" ref="AX3:AX9" si="0">VLOOKUP(AU3,AT$79:AU$180,2,FALSE)</f>
        <v>1214.5304984710244</v>
      </c>
      <c r="AY3" s="23">
        <f t="shared" ref="AY3:AY9" si="1">IF(ISNA(VLOOKUP(AU3,AT$182:AU$243,2,FALSE)),AX3,VLOOKUP(AU3,AT$182:AU$243,2,FALSE))</f>
        <v>1214.5304984710244</v>
      </c>
    </row>
    <row r="4" spans="1:53" ht="24" customHeight="1" thickBot="1" x14ac:dyDescent="0.3">
      <c r="A4" s="164"/>
      <c r="B4" s="24"/>
      <c r="C4" s="24"/>
      <c r="D4" s="25"/>
      <c r="E4" s="26"/>
      <c r="F4" s="27"/>
      <c r="G4" s="27"/>
      <c r="H4" s="183" t="s">
        <v>19</v>
      </c>
      <c r="I4" s="184"/>
      <c r="J4" s="185"/>
      <c r="K4" s="185"/>
      <c r="L4" s="185"/>
      <c r="M4" s="185"/>
      <c r="N4" s="186"/>
      <c r="O4" s="187"/>
      <c r="P4" s="187"/>
      <c r="Q4" s="187"/>
      <c r="R4" s="187"/>
      <c r="S4" s="187"/>
      <c r="T4" s="187"/>
      <c r="U4" s="188"/>
      <c r="V4" s="189" t="s">
        <v>20</v>
      </c>
      <c r="W4" s="190"/>
      <c r="X4" s="190"/>
      <c r="Y4" s="190"/>
      <c r="Z4" s="191"/>
      <c r="AA4" s="192"/>
      <c r="AB4" s="187"/>
      <c r="AC4" s="187"/>
      <c r="AD4" s="187"/>
      <c r="AE4" s="187"/>
      <c r="AF4" s="188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3"/>
      <c r="AT4" s="28">
        <v>2</v>
      </c>
      <c r="AU4" s="418" t="s">
        <v>157</v>
      </c>
      <c r="AV4" s="418" t="s">
        <v>158</v>
      </c>
      <c r="AW4" s="21">
        <f>VLOOKUP(AV4,Initial!G:K,5,FALSE)</f>
        <v>1329.272415012241</v>
      </c>
      <c r="AX4" s="31">
        <f t="shared" si="0"/>
        <v>1340.2864854074439</v>
      </c>
      <c r="AY4" s="23">
        <f t="shared" si="1"/>
        <v>1340.2864854074439</v>
      </c>
    </row>
    <row r="5" spans="1:53" ht="15.6" thickBot="1" x14ac:dyDescent="0.3">
      <c r="A5" s="1" t="s">
        <v>21</v>
      </c>
      <c r="B5" s="193" t="s">
        <v>21</v>
      </c>
      <c r="C5" s="194"/>
      <c r="D5" s="194"/>
      <c r="E5" s="194"/>
      <c r="F5" s="194"/>
      <c r="G5" s="194"/>
      <c r="H5" s="194"/>
      <c r="I5" s="194"/>
      <c r="J5" s="194"/>
      <c r="K5" s="163"/>
      <c r="L5" s="195" t="s">
        <v>21</v>
      </c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3"/>
      <c r="AT5" s="28">
        <v>3</v>
      </c>
      <c r="AU5" s="418" t="s">
        <v>159</v>
      </c>
      <c r="AV5" s="418" t="s">
        <v>160</v>
      </c>
      <c r="AW5" s="21">
        <f>VLOOKUP(AV5,Initial!G:K,5,FALSE)</f>
        <v>1200</v>
      </c>
      <c r="AX5" s="31">
        <f t="shared" si="0"/>
        <v>1237.251057639922</v>
      </c>
      <c r="AY5" s="23">
        <f t="shared" si="1"/>
        <v>1237.251057639922</v>
      </c>
    </row>
    <row r="6" spans="1:53" ht="24" customHeight="1" thickBot="1" x14ac:dyDescent="0.3">
      <c r="A6" s="33" t="s">
        <v>22</v>
      </c>
      <c r="B6" s="34" t="s">
        <v>23</v>
      </c>
      <c r="C6" s="211" t="s">
        <v>24</v>
      </c>
      <c r="D6" s="212"/>
      <c r="E6" s="212"/>
      <c r="F6" s="212"/>
      <c r="G6" s="212"/>
      <c r="H6" s="213"/>
      <c r="I6" s="214">
        <v>1</v>
      </c>
      <c r="J6" s="215"/>
      <c r="K6" s="216" t="str">
        <f>"Pool "&amp;B6&amp;" - Round 1 - Court "&amp;I6</f>
        <v>Pool A - Round 1 - Court 1</v>
      </c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8"/>
      <c r="AK6" s="11"/>
      <c r="AL6" s="11"/>
      <c r="AM6" s="11"/>
      <c r="AN6" s="11"/>
      <c r="AO6" s="11"/>
      <c r="AP6" s="11"/>
      <c r="AQ6" s="11"/>
      <c r="AR6" s="11"/>
      <c r="AT6" s="28">
        <v>4</v>
      </c>
      <c r="AU6" s="418" t="s">
        <v>161</v>
      </c>
      <c r="AV6" s="418" t="s">
        <v>162</v>
      </c>
      <c r="AW6" s="21">
        <f>VLOOKUP(AV6,Initial!G:K,5,FALSE)</f>
        <v>1200</v>
      </c>
      <c r="AX6" s="31">
        <f t="shared" si="0"/>
        <v>1246.5304984710244</v>
      </c>
      <c r="AY6" s="23">
        <f t="shared" si="1"/>
        <v>1246.5304984710244</v>
      </c>
    </row>
    <row r="7" spans="1:53" ht="27" customHeight="1" thickBot="1" x14ac:dyDescent="0.3">
      <c r="A7" s="35" t="s">
        <v>25</v>
      </c>
      <c r="B7" s="183" t="s">
        <v>8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183" t="str">
        <f>IF($AL10=0,"Games Won","Matches Won")</f>
        <v>Matches Won</v>
      </c>
      <c r="N7" s="219"/>
      <c r="O7" s="219"/>
      <c r="P7" s="219"/>
      <c r="Q7" s="219"/>
      <c r="R7" s="220"/>
      <c r="S7" s="183" t="str">
        <f>IF($AL10=0,"Games Lost","Matches Lost")</f>
        <v>Matches Lost</v>
      </c>
      <c r="T7" s="221"/>
      <c r="U7" s="221"/>
      <c r="V7" s="221"/>
      <c r="W7" s="222"/>
      <c r="X7" s="223" t="s">
        <v>26</v>
      </c>
      <c r="Y7" s="224"/>
      <c r="Z7" s="225"/>
      <c r="AA7" s="223" t="s">
        <v>27</v>
      </c>
      <c r="AB7" s="224"/>
      <c r="AC7" s="225"/>
      <c r="AD7" s="226" t="s">
        <v>28</v>
      </c>
      <c r="AE7" s="227"/>
      <c r="AF7" s="228"/>
      <c r="AG7" s="36" t="s">
        <v>29</v>
      </c>
      <c r="AH7" s="37" t="s">
        <v>7</v>
      </c>
      <c r="AI7" s="229" t="s">
        <v>30</v>
      </c>
      <c r="AJ7" s="230"/>
      <c r="AK7" s="38"/>
      <c r="AL7" s="39">
        <v>1</v>
      </c>
      <c r="AM7" s="40" t="s">
        <v>31</v>
      </c>
      <c r="AN7" s="40"/>
      <c r="AO7" s="40"/>
      <c r="AP7" s="40"/>
      <c r="AQ7" s="40"/>
      <c r="AR7" s="40"/>
      <c r="AS7" s="41"/>
      <c r="AT7" s="28">
        <v>5</v>
      </c>
      <c r="AU7" s="418" t="s">
        <v>163</v>
      </c>
      <c r="AV7" s="418" t="s">
        <v>164</v>
      </c>
      <c r="AW7" s="21">
        <f>VLOOKUP(AV7,Initial!G:K,5,FALSE)</f>
        <v>1200</v>
      </c>
      <c r="AX7" s="31">
        <f t="shared" si="0"/>
        <v>1185.4695015289756</v>
      </c>
      <c r="AY7" s="23">
        <f t="shared" si="1"/>
        <v>1185.4695015289756</v>
      </c>
    </row>
    <row r="8" spans="1:53" ht="18.75" customHeight="1" thickBot="1" x14ac:dyDescent="0.3">
      <c r="A8" s="231" t="str">
        <f>IF($AL9&gt;0,"1","")</f>
        <v>1</v>
      </c>
      <c r="B8" s="233" t="s">
        <v>8</v>
      </c>
      <c r="C8" s="234"/>
      <c r="D8" s="235"/>
      <c r="E8" s="236" t="str">
        <f>AU3</f>
        <v>Kershaw Dev 12 Black</v>
      </c>
      <c r="F8" s="237"/>
      <c r="G8" s="237"/>
      <c r="H8" s="237"/>
      <c r="I8" s="237"/>
      <c r="J8" s="237"/>
      <c r="K8" s="237"/>
      <c r="L8" s="238"/>
      <c r="M8" s="239">
        <f>IF($AL10=0,AG64,AG46)</f>
        <v>2</v>
      </c>
      <c r="N8" s="240"/>
      <c r="O8" s="240"/>
      <c r="P8" s="240"/>
      <c r="Q8" s="240"/>
      <c r="R8" s="220"/>
      <c r="S8" s="239">
        <f>IF($AL10=0,AH64,AH46)</f>
        <v>1</v>
      </c>
      <c r="T8" s="240"/>
      <c r="U8" s="240"/>
      <c r="V8" s="240"/>
      <c r="W8" s="240"/>
      <c r="X8" s="239">
        <f>AR24</f>
        <v>3</v>
      </c>
      <c r="Y8" s="240"/>
      <c r="Z8" s="240"/>
      <c r="AA8" s="243">
        <f>IF(AG58&gt;0,(AR24/AG58),0)</f>
        <v>0.04</v>
      </c>
      <c r="AB8" s="244"/>
      <c r="AC8" s="244"/>
      <c r="AD8" s="247">
        <f>IF(AG72=0,0,(AG64/AG72))</f>
        <v>0.66666666666666663</v>
      </c>
      <c r="AE8" s="248"/>
      <c r="AF8" s="249"/>
      <c r="AG8" s="253">
        <v>2</v>
      </c>
      <c r="AH8" s="253">
        <v>1</v>
      </c>
      <c r="AI8" s="255"/>
      <c r="AJ8" s="256"/>
      <c r="AK8" s="38"/>
      <c r="AL8" s="39">
        <v>6</v>
      </c>
      <c r="AM8" s="40" t="s">
        <v>32</v>
      </c>
      <c r="AN8" s="40"/>
      <c r="AO8" s="40"/>
      <c r="AP8" s="40"/>
      <c r="AQ8" s="40"/>
      <c r="AR8" s="40"/>
      <c r="AS8" s="41"/>
      <c r="AT8" s="28">
        <v>6</v>
      </c>
      <c r="AU8" s="418" t="s">
        <v>165</v>
      </c>
      <c r="AV8" s="418" t="s">
        <v>166</v>
      </c>
      <c r="AW8" s="21">
        <f>VLOOKUP(AV8,Initial!G:K,5,FALSE)</f>
        <v>1200</v>
      </c>
      <c r="AX8" s="31">
        <f t="shared" si="0"/>
        <v>1151.7348719648749</v>
      </c>
      <c r="AY8" s="23">
        <f t="shared" si="1"/>
        <v>1151.7348719648749</v>
      </c>
    </row>
    <row r="9" spans="1:53" ht="18.75" customHeight="1" thickBot="1" x14ac:dyDescent="0.3">
      <c r="A9" s="232"/>
      <c r="B9" s="263" t="s">
        <v>9</v>
      </c>
      <c r="C9" s="264"/>
      <c r="D9" s="265"/>
      <c r="E9" s="261" t="str">
        <f>AV3</f>
        <v>fj2kersh4pm</v>
      </c>
      <c r="F9" s="262"/>
      <c r="G9" s="262"/>
      <c r="H9" s="262"/>
      <c r="I9" s="262"/>
      <c r="J9" s="262"/>
      <c r="K9" s="262"/>
      <c r="L9" s="262"/>
      <c r="M9" s="241"/>
      <c r="N9" s="242"/>
      <c r="O9" s="242"/>
      <c r="P9" s="242"/>
      <c r="Q9" s="242"/>
      <c r="R9" s="220"/>
      <c r="S9" s="241"/>
      <c r="T9" s="242"/>
      <c r="U9" s="242"/>
      <c r="V9" s="242"/>
      <c r="W9" s="242"/>
      <c r="X9" s="241"/>
      <c r="Y9" s="242"/>
      <c r="Z9" s="242"/>
      <c r="AA9" s="245"/>
      <c r="AB9" s="246"/>
      <c r="AC9" s="246"/>
      <c r="AD9" s="250"/>
      <c r="AE9" s="251"/>
      <c r="AF9" s="252"/>
      <c r="AG9" s="254"/>
      <c r="AH9" s="254"/>
      <c r="AI9" s="257"/>
      <c r="AJ9" s="258"/>
      <c r="AK9" s="38"/>
      <c r="AL9" s="39">
        <v>4</v>
      </c>
      <c r="AM9" s="40" t="s">
        <v>33</v>
      </c>
      <c r="AN9" s="38"/>
      <c r="AO9" s="38"/>
      <c r="AP9" s="38"/>
      <c r="AQ9" s="38"/>
      <c r="AR9" s="38"/>
      <c r="AS9" s="3"/>
      <c r="AT9" s="28">
        <v>7</v>
      </c>
      <c r="AU9" s="418" t="s">
        <v>167</v>
      </c>
      <c r="AV9" s="418" t="s">
        <v>168</v>
      </c>
      <c r="AW9" s="21">
        <f>VLOOKUP(AV9,Initial!G:K,5,FALSE)</f>
        <v>1200</v>
      </c>
      <c r="AX9" s="31">
        <f t="shared" si="0"/>
        <v>1153.4695015289756</v>
      </c>
      <c r="AY9" s="23">
        <f t="shared" si="1"/>
        <v>1153.4695015289756</v>
      </c>
    </row>
    <row r="10" spans="1:53" ht="18.75" customHeight="1" x14ac:dyDescent="0.25">
      <c r="A10" s="231" t="str">
        <f>IF($AL9&gt;1,"2","")</f>
        <v>2</v>
      </c>
      <c r="B10" s="233" t="s">
        <v>8</v>
      </c>
      <c r="C10" s="234"/>
      <c r="D10" s="235"/>
      <c r="E10" s="236" t="str">
        <f>AU6</f>
        <v>SC Midlands KP Garnet</v>
      </c>
      <c r="F10" s="237"/>
      <c r="G10" s="237"/>
      <c r="H10" s="237"/>
      <c r="I10" s="237"/>
      <c r="J10" s="237"/>
      <c r="K10" s="237"/>
      <c r="L10" s="238"/>
      <c r="M10" s="239">
        <f>IF($AL10=0,AG65,AG47)</f>
        <v>3</v>
      </c>
      <c r="N10" s="240"/>
      <c r="O10" s="240"/>
      <c r="P10" s="240"/>
      <c r="Q10" s="240"/>
      <c r="R10" s="220"/>
      <c r="S10" s="239">
        <f>IF($AL10=0,AH65,AH47)</f>
        <v>0</v>
      </c>
      <c r="T10" s="240"/>
      <c r="U10" s="240"/>
      <c r="V10" s="240"/>
      <c r="W10" s="240"/>
      <c r="X10" s="239">
        <f>AR25</f>
        <v>28</v>
      </c>
      <c r="Y10" s="240"/>
      <c r="Z10" s="240"/>
      <c r="AA10" s="243">
        <f>IF(AG59&gt;0,(AR25/AG59),0)</f>
        <v>0.4</v>
      </c>
      <c r="AB10" s="244"/>
      <c r="AC10" s="244"/>
      <c r="AD10" s="247">
        <f>IF(AG73=0,0,(AG65/AG73))</f>
        <v>1</v>
      </c>
      <c r="AE10" s="248"/>
      <c r="AF10" s="249"/>
      <c r="AG10" s="253">
        <v>1</v>
      </c>
      <c r="AH10" s="253">
        <v>1</v>
      </c>
      <c r="AI10" s="255"/>
      <c r="AJ10" s="256"/>
      <c r="AK10" s="38"/>
      <c r="AL10" s="39">
        <v>1</v>
      </c>
      <c r="AM10" s="40" t="s">
        <v>34</v>
      </c>
      <c r="AN10" s="40"/>
      <c r="AO10" s="40"/>
      <c r="AP10" s="40"/>
      <c r="AQ10" s="40"/>
      <c r="AR10" s="40"/>
      <c r="AS10" s="41"/>
      <c r="AT10" s="42"/>
      <c r="AU10" s="43"/>
      <c r="AV10" s="44"/>
      <c r="AW10" s="45"/>
      <c r="AX10" s="46"/>
      <c r="AY10" s="47"/>
    </row>
    <row r="11" spans="1:53" ht="18.75" customHeight="1" thickBot="1" x14ac:dyDescent="0.3">
      <c r="A11" s="232"/>
      <c r="B11" s="259" t="s">
        <v>9</v>
      </c>
      <c r="C11" s="260"/>
      <c r="D11" s="260"/>
      <c r="E11" s="261" t="str">
        <f>AV6</f>
        <v>fj1scmid2pm</v>
      </c>
      <c r="F11" s="262"/>
      <c r="G11" s="262"/>
      <c r="H11" s="262"/>
      <c r="I11" s="262"/>
      <c r="J11" s="262"/>
      <c r="K11" s="262"/>
      <c r="L11" s="262"/>
      <c r="M11" s="241"/>
      <c r="N11" s="242"/>
      <c r="O11" s="242"/>
      <c r="P11" s="242"/>
      <c r="Q11" s="242"/>
      <c r="R11" s="220"/>
      <c r="S11" s="241"/>
      <c r="T11" s="242"/>
      <c r="U11" s="242"/>
      <c r="V11" s="242"/>
      <c r="W11" s="242"/>
      <c r="X11" s="241"/>
      <c r="Y11" s="242"/>
      <c r="Z11" s="242"/>
      <c r="AA11" s="245"/>
      <c r="AB11" s="246"/>
      <c r="AC11" s="246"/>
      <c r="AD11" s="250"/>
      <c r="AE11" s="251"/>
      <c r="AF11" s="252"/>
      <c r="AG11" s="254"/>
      <c r="AH11" s="254"/>
      <c r="AI11" s="257"/>
      <c r="AJ11" s="258"/>
      <c r="AK11" s="38"/>
      <c r="AL11" s="39">
        <v>1</v>
      </c>
      <c r="AM11" s="40" t="s">
        <v>35</v>
      </c>
      <c r="AN11" s="38"/>
      <c r="AO11" s="38"/>
      <c r="AP11" s="38"/>
      <c r="AQ11" s="38"/>
      <c r="AR11" s="38"/>
      <c r="AS11" s="3"/>
      <c r="AT11" s="42"/>
      <c r="AU11" s="43"/>
      <c r="AV11" s="44"/>
      <c r="AW11" s="45"/>
      <c r="AX11" s="46"/>
      <c r="AY11" s="47"/>
    </row>
    <row r="12" spans="1:53" ht="18.75" customHeight="1" thickBot="1" x14ac:dyDescent="0.3">
      <c r="A12" s="231" t="str">
        <f>IF($AL9&gt;2,"3","")</f>
        <v>3</v>
      </c>
      <c r="B12" s="266" t="s">
        <v>8</v>
      </c>
      <c r="C12" s="267"/>
      <c r="D12" s="267"/>
      <c r="E12" s="236" t="str">
        <f>AU7</f>
        <v>SC Midlands KP Silver</v>
      </c>
      <c r="F12" s="237"/>
      <c r="G12" s="237"/>
      <c r="H12" s="237"/>
      <c r="I12" s="237"/>
      <c r="J12" s="237"/>
      <c r="K12" s="237"/>
      <c r="L12" s="238"/>
      <c r="M12" s="239">
        <f>IF($AL10=0,AG66,AG48)</f>
        <v>1</v>
      </c>
      <c r="N12" s="240"/>
      <c r="O12" s="240"/>
      <c r="P12" s="240"/>
      <c r="Q12" s="240"/>
      <c r="R12" s="220"/>
      <c r="S12" s="239">
        <f>IF($AL10=0,AH66,AH48)</f>
        <v>2</v>
      </c>
      <c r="T12" s="240"/>
      <c r="U12" s="240"/>
      <c r="V12" s="240"/>
      <c r="W12" s="240"/>
      <c r="X12" s="239">
        <f>AR26</f>
        <v>-1</v>
      </c>
      <c r="Y12" s="240"/>
      <c r="Z12" s="240"/>
      <c r="AA12" s="243">
        <f>IF(AG60&gt;0,(AR26/AG60),0)</f>
        <v>-1.6129032258064516E-2</v>
      </c>
      <c r="AB12" s="244"/>
      <c r="AC12" s="244"/>
      <c r="AD12" s="247">
        <f>IF(AG74=0,0,(AG66/AG74))</f>
        <v>0.33333333333333331</v>
      </c>
      <c r="AE12" s="248"/>
      <c r="AF12" s="249"/>
      <c r="AG12" s="253">
        <v>3</v>
      </c>
      <c r="AH12" s="253">
        <v>1</v>
      </c>
      <c r="AI12" s="255"/>
      <c r="AJ12" s="256"/>
      <c r="AK12" s="48"/>
      <c r="AL12" s="39">
        <v>3</v>
      </c>
      <c r="AM12" s="49" t="s">
        <v>36</v>
      </c>
      <c r="AN12" s="40"/>
      <c r="AO12" s="40"/>
      <c r="AP12" s="40"/>
      <c r="AQ12" s="40"/>
      <c r="AR12" s="40"/>
      <c r="AS12" s="41"/>
      <c r="AT12" s="50"/>
      <c r="AU12" s="51"/>
      <c r="AV12" s="52"/>
      <c r="AW12" s="53"/>
      <c r="AX12" s="54"/>
      <c r="AY12" s="55"/>
    </row>
    <row r="13" spans="1:53" ht="18.75" customHeight="1" thickBot="1" x14ac:dyDescent="0.3">
      <c r="A13" s="232"/>
      <c r="B13" s="259" t="s">
        <v>9</v>
      </c>
      <c r="C13" s="260"/>
      <c r="D13" s="260"/>
      <c r="E13" s="261" t="str">
        <f>AV7</f>
        <v>fj1scmid4pm</v>
      </c>
      <c r="F13" s="262"/>
      <c r="G13" s="262"/>
      <c r="H13" s="262"/>
      <c r="I13" s="262"/>
      <c r="J13" s="262"/>
      <c r="K13" s="262"/>
      <c r="L13" s="262"/>
      <c r="M13" s="241"/>
      <c r="N13" s="242"/>
      <c r="O13" s="242"/>
      <c r="P13" s="242"/>
      <c r="Q13" s="242"/>
      <c r="R13" s="220"/>
      <c r="S13" s="241"/>
      <c r="T13" s="242"/>
      <c r="U13" s="242"/>
      <c r="V13" s="242"/>
      <c r="W13" s="242"/>
      <c r="X13" s="241"/>
      <c r="Y13" s="242"/>
      <c r="Z13" s="242"/>
      <c r="AA13" s="245"/>
      <c r="AB13" s="246"/>
      <c r="AC13" s="246"/>
      <c r="AD13" s="250"/>
      <c r="AE13" s="251"/>
      <c r="AF13" s="252"/>
      <c r="AG13" s="254"/>
      <c r="AH13" s="254"/>
      <c r="AI13" s="257"/>
      <c r="AJ13" s="258"/>
      <c r="AK13" s="48"/>
      <c r="AL13" s="56"/>
      <c r="AM13" s="57"/>
      <c r="AN13" s="57"/>
      <c r="AO13" s="57"/>
      <c r="AP13" s="57"/>
      <c r="AQ13" s="57"/>
      <c r="AR13" s="38"/>
      <c r="AS13" s="3"/>
      <c r="AT13" s="270" t="s">
        <v>37</v>
      </c>
      <c r="AU13" s="271"/>
      <c r="AV13" s="271"/>
      <c r="AW13" s="271"/>
      <c r="AX13" s="271"/>
      <c r="AY13" s="272"/>
    </row>
    <row r="14" spans="1:53" ht="18.75" customHeight="1" thickBot="1" x14ac:dyDescent="0.3">
      <c r="A14" s="231" t="str">
        <f>IF($AL9&gt;3,"4","")</f>
        <v>4</v>
      </c>
      <c r="B14" s="266" t="s">
        <v>8</v>
      </c>
      <c r="C14" s="267"/>
      <c r="D14" s="267"/>
      <c r="E14" s="236" t="str">
        <f>AU9</f>
        <v>Foothills Skylar</v>
      </c>
      <c r="F14" s="237"/>
      <c r="G14" s="237"/>
      <c r="H14" s="237"/>
      <c r="I14" s="237"/>
      <c r="J14" s="237"/>
      <c r="K14" s="237"/>
      <c r="L14" s="238"/>
      <c r="M14" s="239">
        <f>IF($AL10=0,AG67,AG49)</f>
        <v>0</v>
      </c>
      <c r="N14" s="240"/>
      <c r="O14" s="240"/>
      <c r="P14" s="240"/>
      <c r="Q14" s="240"/>
      <c r="R14" s="220"/>
      <c r="S14" s="239">
        <f>IF($AL10=0,AH67,AH49)</f>
        <v>3</v>
      </c>
      <c r="T14" s="240"/>
      <c r="U14" s="240"/>
      <c r="V14" s="240"/>
      <c r="W14" s="240"/>
      <c r="X14" s="239">
        <f>AR27</f>
        <v>-30</v>
      </c>
      <c r="Y14" s="240"/>
      <c r="Z14" s="240"/>
      <c r="AA14" s="243">
        <f>IF(AG61&gt;0,(AR27/AG61),0)</f>
        <v>-0.4</v>
      </c>
      <c r="AB14" s="244"/>
      <c r="AC14" s="244"/>
      <c r="AD14" s="247">
        <f>IF(AG75=0,0,(AG67/AG75))</f>
        <v>0</v>
      </c>
      <c r="AE14" s="248"/>
      <c r="AF14" s="249"/>
      <c r="AG14" s="253">
        <v>4</v>
      </c>
      <c r="AH14" s="253">
        <v>1</v>
      </c>
      <c r="AI14" s="255"/>
      <c r="AJ14" s="256"/>
      <c r="AK14" s="11"/>
      <c r="AL14" s="57"/>
      <c r="AM14" s="57"/>
      <c r="AN14" s="57"/>
      <c r="AO14" s="57"/>
      <c r="AP14" s="57"/>
      <c r="AQ14" s="57"/>
      <c r="AR14" s="40"/>
      <c r="AS14" s="41"/>
      <c r="AT14" s="273"/>
      <c r="AU14" s="274"/>
      <c r="AV14" s="274"/>
      <c r="AW14" s="274"/>
      <c r="AX14" s="274"/>
      <c r="AY14" s="275"/>
    </row>
    <row r="15" spans="1:53" ht="18.75" customHeight="1" thickBot="1" x14ac:dyDescent="0.3">
      <c r="A15" s="232"/>
      <c r="B15" s="259" t="s">
        <v>9</v>
      </c>
      <c r="C15" s="260"/>
      <c r="D15" s="260"/>
      <c r="E15" s="261" t="str">
        <f>AV9</f>
        <v>fj2footh3pm</v>
      </c>
      <c r="F15" s="262"/>
      <c r="G15" s="262"/>
      <c r="H15" s="262"/>
      <c r="I15" s="262"/>
      <c r="J15" s="262"/>
      <c r="K15" s="262"/>
      <c r="L15" s="262"/>
      <c r="M15" s="241"/>
      <c r="N15" s="242"/>
      <c r="O15" s="242"/>
      <c r="P15" s="242"/>
      <c r="Q15" s="242"/>
      <c r="R15" s="220"/>
      <c r="S15" s="241"/>
      <c r="T15" s="242"/>
      <c r="U15" s="242"/>
      <c r="V15" s="242"/>
      <c r="W15" s="242"/>
      <c r="X15" s="241"/>
      <c r="Y15" s="242"/>
      <c r="Z15" s="242"/>
      <c r="AA15" s="245"/>
      <c r="AB15" s="246"/>
      <c r="AC15" s="246"/>
      <c r="AD15" s="250"/>
      <c r="AE15" s="251"/>
      <c r="AF15" s="252"/>
      <c r="AG15" s="254"/>
      <c r="AH15" s="254"/>
      <c r="AI15" s="257"/>
      <c r="AJ15" s="258"/>
      <c r="AK15" s="11"/>
      <c r="AL15" s="57"/>
      <c r="AM15" s="57"/>
      <c r="AN15" s="57"/>
      <c r="AO15" s="57"/>
      <c r="AP15" s="57"/>
      <c r="AQ15" s="57"/>
      <c r="AR15" s="11"/>
      <c r="AS15" s="3"/>
    </row>
    <row r="16" spans="1:53" ht="18.75" customHeight="1" x14ac:dyDescent="0.25">
      <c r="A16" s="231" t="str">
        <f>IF($AL9&gt;4,"5","")</f>
        <v/>
      </c>
      <c r="B16" s="266" t="s">
        <v>8</v>
      </c>
      <c r="C16" s="267"/>
      <c r="D16" s="267"/>
      <c r="E16" s="236">
        <f>AU11</f>
        <v>0</v>
      </c>
      <c r="F16" s="237"/>
      <c r="G16" s="237"/>
      <c r="H16" s="237"/>
      <c r="I16" s="237"/>
      <c r="J16" s="237"/>
      <c r="K16" s="237"/>
      <c r="L16" s="238"/>
      <c r="M16" s="239">
        <f>IF($AL10=0,AG68,AG50)</f>
        <v>0</v>
      </c>
      <c r="N16" s="240"/>
      <c r="O16" s="240"/>
      <c r="P16" s="240"/>
      <c r="Q16" s="240"/>
      <c r="R16" s="220"/>
      <c r="S16" s="239">
        <f>IF($AL10=0,AH68,AH50)</f>
        <v>0</v>
      </c>
      <c r="T16" s="240"/>
      <c r="U16" s="240"/>
      <c r="V16" s="240"/>
      <c r="W16" s="240"/>
      <c r="X16" s="239">
        <f>AR28</f>
        <v>0</v>
      </c>
      <c r="Y16" s="240"/>
      <c r="Z16" s="240"/>
      <c r="AA16" s="243">
        <f>IF(AG62&gt;0,(AR28/AG62),0)</f>
        <v>0</v>
      </c>
      <c r="AB16" s="244"/>
      <c r="AC16" s="244"/>
      <c r="AD16" s="247">
        <f>IF(AG76=0,0,(AG68/AG76))</f>
        <v>0</v>
      </c>
      <c r="AE16" s="248"/>
      <c r="AF16" s="249"/>
      <c r="AG16" s="253"/>
      <c r="AH16" s="253"/>
      <c r="AI16" s="255"/>
      <c r="AJ16" s="256"/>
      <c r="AK16" s="11"/>
      <c r="AL16" s="57"/>
      <c r="AM16" s="57"/>
      <c r="AN16" s="57"/>
      <c r="AO16" s="57"/>
      <c r="AP16" s="57"/>
      <c r="AQ16" s="57"/>
      <c r="AR16" s="11"/>
      <c r="AS16" s="3"/>
      <c r="AT16" s="158"/>
      <c r="AU16" s="158"/>
    </row>
    <row r="17" spans="1:47" ht="18.75" customHeight="1" thickBot="1" x14ac:dyDescent="0.3">
      <c r="A17" s="232"/>
      <c r="B17" s="277" t="s">
        <v>9</v>
      </c>
      <c r="C17" s="278"/>
      <c r="D17" s="278"/>
      <c r="E17" s="279">
        <f>AV11</f>
        <v>0</v>
      </c>
      <c r="F17" s="280"/>
      <c r="G17" s="280"/>
      <c r="H17" s="280"/>
      <c r="I17" s="280"/>
      <c r="J17" s="280"/>
      <c r="K17" s="280"/>
      <c r="L17" s="280"/>
      <c r="M17" s="268"/>
      <c r="N17" s="269"/>
      <c r="O17" s="269"/>
      <c r="P17" s="269"/>
      <c r="Q17" s="269"/>
      <c r="R17" s="220"/>
      <c r="S17" s="241"/>
      <c r="T17" s="242"/>
      <c r="U17" s="242"/>
      <c r="V17" s="242"/>
      <c r="W17" s="242"/>
      <c r="X17" s="241"/>
      <c r="Y17" s="242"/>
      <c r="Z17" s="242"/>
      <c r="AA17" s="245"/>
      <c r="AB17" s="246"/>
      <c r="AC17" s="246"/>
      <c r="AD17" s="250"/>
      <c r="AE17" s="251"/>
      <c r="AF17" s="252"/>
      <c r="AG17" s="254"/>
      <c r="AH17" s="276"/>
      <c r="AI17" s="257"/>
      <c r="AJ17" s="258"/>
      <c r="AK17" s="11"/>
      <c r="AL17" s="57"/>
      <c r="AM17" s="57"/>
      <c r="AN17" s="57"/>
      <c r="AO17" s="57"/>
      <c r="AP17" s="57"/>
      <c r="AQ17" s="57"/>
      <c r="AR17" s="11"/>
      <c r="AS17" s="3"/>
      <c r="AT17" s="158"/>
      <c r="AU17" s="158"/>
    </row>
    <row r="18" spans="1:47" ht="21" customHeight="1" thickTop="1" thickBot="1" x14ac:dyDescent="0.3">
      <c r="A18" s="59"/>
      <c r="B18" s="281" t="s">
        <v>38</v>
      </c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3"/>
      <c r="AK18" s="11"/>
      <c r="AL18" s="57"/>
      <c r="AM18" s="57"/>
      <c r="AN18" s="57"/>
      <c r="AO18" s="57"/>
      <c r="AP18" s="57"/>
      <c r="AQ18" s="57"/>
      <c r="AR18" s="11"/>
      <c r="AS18" s="3"/>
      <c r="AT18" s="158"/>
      <c r="AU18" s="158"/>
    </row>
    <row r="19" spans="1:47" ht="13.8" thickTop="1" x14ac:dyDescent="0.25">
      <c r="A19" t="s">
        <v>39</v>
      </c>
      <c r="B19" s="284">
        <v>0.35416666666666669</v>
      </c>
      <c r="C19" s="285"/>
      <c r="D19" s="286"/>
      <c r="E19" s="284">
        <v>0.39583333333333331</v>
      </c>
      <c r="F19" s="285"/>
      <c r="G19" s="286"/>
      <c r="H19" s="284">
        <v>0.4375</v>
      </c>
      <c r="I19" s="285"/>
      <c r="J19" s="286"/>
      <c r="K19" s="287"/>
      <c r="L19" s="284">
        <v>0.5</v>
      </c>
      <c r="M19" s="285"/>
      <c r="N19" s="286"/>
      <c r="O19" s="284">
        <v>4.1666666666666664E-2</v>
      </c>
      <c r="P19" s="285"/>
      <c r="Q19" s="286"/>
      <c r="R19" s="284">
        <v>8.3333333333333329E-2</v>
      </c>
      <c r="S19" s="285"/>
      <c r="T19" s="286"/>
      <c r="U19" s="284"/>
      <c r="V19" s="285"/>
      <c r="W19" s="286"/>
      <c r="X19" s="284"/>
      <c r="Y19" s="285"/>
      <c r="Z19" s="286"/>
      <c r="AA19" s="284"/>
      <c r="AB19" s="285"/>
      <c r="AC19" s="286"/>
      <c r="AD19" s="284"/>
      <c r="AE19" s="285"/>
      <c r="AF19" s="286"/>
      <c r="AG19" s="290" t="s">
        <v>40</v>
      </c>
      <c r="AH19" s="291"/>
      <c r="AI19" s="291"/>
      <c r="AJ19" s="291"/>
      <c r="AK19" s="292"/>
      <c r="AL19" s="292"/>
      <c r="AM19" s="292"/>
      <c r="AN19" s="292"/>
      <c r="AO19" s="292"/>
      <c r="AP19" s="292"/>
      <c r="AQ19" s="292"/>
      <c r="AR19" s="293"/>
      <c r="AT19" s="158"/>
      <c r="AU19" s="158"/>
    </row>
    <row r="20" spans="1:47" x14ac:dyDescent="0.25">
      <c r="A20" s="60" t="s">
        <v>41</v>
      </c>
      <c r="B20" s="298"/>
      <c r="C20" s="299"/>
      <c r="D20" s="300"/>
      <c r="E20" s="298"/>
      <c r="F20" s="299"/>
      <c r="G20" s="300"/>
      <c r="H20" s="298"/>
      <c r="I20" s="299"/>
      <c r="J20" s="300"/>
      <c r="K20" s="288"/>
      <c r="L20" s="298"/>
      <c r="M20" s="299"/>
      <c r="N20" s="300"/>
      <c r="O20" s="298"/>
      <c r="P20" s="299"/>
      <c r="Q20" s="300"/>
      <c r="R20" s="298"/>
      <c r="S20" s="299"/>
      <c r="T20" s="300"/>
      <c r="U20" s="298"/>
      <c r="V20" s="299"/>
      <c r="W20" s="300"/>
      <c r="X20" s="298"/>
      <c r="Y20" s="299"/>
      <c r="Z20" s="300"/>
      <c r="AA20" s="298"/>
      <c r="AB20" s="299"/>
      <c r="AC20" s="300"/>
      <c r="AD20" s="298"/>
      <c r="AE20" s="299"/>
      <c r="AF20" s="300"/>
      <c r="AG20" s="290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4"/>
      <c r="AT20" s="158"/>
      <c r="AU20" s="158"/>
    </row>
    <row r="21" spans="1:47" x14ac:dyDescent="0.25">
      <c r="A21" s="60" t="s">
        <v>42</v>
      </c>
      <c r="B21" s="298"/>
      <c r="C21" s="299"/>
      <c r="D21" s="300"/>
      <c r="E21" s="298"/>
      <c r="F21" s="299"/>
      <c r="G21" s="300"/>
      <c r="H21" s="298"/>
      <c r="I21" s="299"/>
      <c r="J21" s="300"/>
      <c r="K21" s="288"/>
      <c r="L21" s="298"/>
      <c r="M21" s="299"/>
      <c r="N21" s="300"/>
      <c r="O21" s="298"/>
      <c r="P21" s="299"/>
      <c r="Q21" s="300"/>
      <c r="R21" s="298"/>
      <c r="S21" s="299"/>
      <c r="T21" s="300"/>
      <c r="U21" s="298"/>
      <c r="V21" s="299"/>
      <c r="W21" s="300"/>
      <c r="X21" s="298"/>
      <c r="Y21" s="299"/>
      <c r="Z21" s="300"/>
      <c r="AA21" s="298"/>
      <c r="AB21" s="299"/>
      <c r="AC21" s="300"/>
      <c r="AD21" s="298"/>
      <c r="AE21" s="299"/>
      <c r="AF21" s="300"/>
      <c r="AG21" s="290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4"/>
      <c r="AT21" s="5"/>
      <c r="AU21" s="5"/>
    </row>
    <row r="22" spans="1:47" ht="13.8" thickBot="1" x14ac:dyDescent="0.3">
      <c r="A22" s="11"/>
      <c r="B22" s="301" t="s">
        <v>43</v>
      </c>
      <c r="C22" s="302"/>
      <c r="D22" s="303"/>
      <c r="E22" s="301" t="str">
        <f>IF(AL8&gt;1,"Match 2","")</f>
        <v>Match 2</v>
      </c>
      <c r="F22" s="302"/>
      <c r="G22" s="303"/>
      <c r="H22" s="301" t="str">
        <f>IF(AL8&gt;2,"Match 3","")</f>
        <v>Match 3</v>
      </c>
      <c r="I22" s="302"/>
      <c r="J22" s="303"/>
      <c r="K22" s="288"/>
      <c r="L22" s="301" t="str">
        <f>IF(AL8&gt;3,"Match 4","")</f>
        <v>Match 4</v>
      </c>
      <c r="M22" s="302"/>
      <c r="N22" s="303"/>
      <c r="O22" s="301" t="str">
        <f>IF(AL8&gt;4,"Match 5","")</f>
        <v>Match 5</v>
      </c>
      <c r="P22" s="302"/>
      <c r="Q22" s="303"/>
      <c r="R22" s="301" t="str">
        <f>IF(AL8&gt;5,"Match 6","")</f>
        <v>Match 6</v>
      </c>
      <c r="S22" s="302"/>
      <c r="T22" s="303"/>
      <c r="U22" s="301" t="str">
        <f>IF(AL8&gt;6,"Match 7","")</f>
        <v/>
      </c>
      <c r="V22" s="302"/>
      <c r="W22" s="303"/>
      <c r="X22" s="301" t="str">
        <f>IF(AL8&gt;7,"Match 8","")</f>
        <v/>
      </c>
      <c r="Y22" s="302"/>
      <c r="Z22" s="303"/>
      <c r="AA22" s="301" t="str">
        <f>IF(AL8&gt;8,"Match 9","")</f>
        <v/>
      </c>
      <c r="AB22" s="302"/>
      <c r="AC22" s="303"/>
      <c r="AD22" s="301" t="str">
        <f>IF(AL8&gt;9,"Match 10","")</f>
        <v/>
      </c>
      <c r="AE22" s="302"/>
      <c r="AF22" s="303"/>
      <c r="AG22" s="295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7"/>
      <c r="AT22" s="158"/>
      <c r="AU22" s="158"/>
    </row>
    <row r="23" spans="1:47" ht="15.6" x14ac:dyDescent="0.3">
      <c r="A23" s="11"/>
      <c r="B23" s="304" t="s">
        <v>44</v>
      </c>
      <c r="C23" s="305"/>
      <c r="D23" s="306"/>
      <c r="E23" s="304" t="s">
        <v>45</v>
      </c>
      <c r="F23" s="305"/>
      <c r="G23" s="306"/>
      <c r="H23" s="304" t="s">
        <v>46</v>
      </c>
      <c r="I23" s="305"/>
      <c r="J23" s="306"/>
      <c r="K23" s="288"/>
      <c r="L23" s="304" t="s">
        <v>47</v>
      </c>
      <c r="M23" s="305"/>
      <c r="N23" s="306"/>
      <c r="O23" s="304" t="s">
        <v>45</v>
      </c>
      <c r="P23" s="305"/>
      <c r="Q23" s="306"/>
      <c r="R23" s="304" t="s">
        <v>46</v>
      </c>
      <c r="S23" s="305"/>
      <c r="T23" s="306"/>
      <c r="U23" s="304"/>
      <c r="V23" s="305"/>
      <c r="W23" s="306"/>
      <c r="X23" s="304"/>
      <c r="Y23" s="305"/>
      <c r="Z23" s="306"/>
      <c r="AA23" s="304"/>
      <c r="AB23" s="305"/>
      <c r="AC23" s="306"/>
      <c r="AD23" s="304"/>
      <c r="AE23" s="305"/>
      <c r="AF23" s="306"/>
      <c r="AG23" s="61" t="s">
        <v>48</v>
      </c>
      <c r="AH23" s="62">
        <v>1</v>
      </c>
      <c r="AI23" s="62">
        <v>2</v>
      </c>
      <c r="AJ23" s="62">
        <v>3</v>
      </c>
      <c r="AK23" s="62">
        <v>4</v>
      </c>
      <c r="AL23" s="62">
        <v>5</v>
      </c>
      <c r="AM23" s="62">
        <v>6</v>
      </c>
      <c r="AN23" s="62">
        <v>7</v>
      </c>
      <c r="AO23" s="62">
        <v>8</v>
      </c>
      <c r="AP23" s="62">
        <v>9</v>
      </c>
      <c r="AQ23" s="62">
        <v>10</v>
      </c>
      <c r="AR23" s="63" t="s">
        <v>49</v>
      </c>
      <c r="AT23" s="158"/>
      <c r="AU23" s="158"/>
    </row>
    <row r="24" spans="1:47" ht="15.6" x14ac:dyDescent="0.3">
      <c r="A24" s="11"/>
      <c r="B24" s="64">
        <v>2</v>
      </c>
      <c r="C24" s="65" t="s">
        <v>50</v>
      </c>
      <c r="D24" s="66">
        <v>3</v>
      </c>
      <c r="E24" s="64">
        <v>1</v>
      </c>
      <c r="F24" s="65" t="str">
        <f>IF(AL8&gt;1,"v","")</f>
        <v>v</v>
      </c>
      <c r="G24" s="66">
        <v>4</v>
      </c>
      <c r="H24" s="64">
        <v>2</v>
      </c>
      <c r="I24" s="65" t="str">
        <f>IF(AL8&gt;2,"v","")</f>
        <v>v</v>
      </c>
      <c r="J24" s="66">
        <v>4</v>
      </c>
      <c r="K24" s="288"/>
      <c r="L24" s="64">
        <v>1</v>
      </c>
      <c r="M24" s="65" t="str">
        <f>IF(AL8&gt;3,"v","")</f>
        <v>v</v>
      </c>
      <c r="N24" s="66">
        <v>3</v>
      </c>
      <c r="O24" s="64">
        <v>3</v>
      </c>
      <c r="P24" s="65" t="str">
        <f>IF(AL8&gt;4,"v","")</f>
        <v>v</v>
      </c>
      <c r="Q24" s="66">
        <v>4</v>
      </c>
      <c r="R24" s="64">
        <v>1</v>
      </c>
      <c r="S24" s="65" t="str">
        <f>IF(AL8&gt;5,"v","")</f>
        <v>v</v>
      </c>
      <c r="T24" s="66">
        <v>2</v>
      </c>
      <c r="U24" s="64"/>
      <c r="V24" s="65" t="str">
        <f>IF(AL8&gt;6,"v","")</f>
        <v/>
      </c>
      <c r="W24" s="66"/>
      <c r="X24" s="64"/>
      <c r="Y24" s="65" t="str">
        <f>IF(AL8&gt;7,"v","")</f>
        <v/>
      </c>
      <c r="Z24" s="66"/>
      <c r="AA24" s="64"/>
      <c r="AB24" s="65" t="str">
        <f>IF(AL8&gt;8,"v","")</f>
        <v/>
      </c>
      <c r="AC24" s="66"/>
      <c r="AD24" s="64"/>
      <c r="AE24" s="65" t="str">
        <f>IF(AL8&gt;9,"v","")</f>
        <v/>
      </c>
      <c r="AF24" s="66"/>
      <c r="AG24" s="67" t="str">
        <f>IF(AL9&gt;0,"Team 1","")</f>
        <v>Team 1</v>
      </c>
      <c r="AH24" s="68" t="str">
        <f>IF(AL9&lt;1,"",IF(AL8&lt;1,"",IF(B24=1,B30-D30,IF(D24=1,D30-B30,""))))</f>
        <v/>
      </c>
      <c r="AI24" s="68">
        <f>IF(AL9&lt;1,"",IF(AL8&lt;2,"",IF(E24=1,E30-G30,IF(G24=1,G30-E30,""))))</f>
        <v>12</v>
      </c>
      <c r="AJ24" s="68" t="str">
        <f>IF(AL9&lt;1,"",IF(AL8&lt;3,"",IF(H24=1,H30-J30,IF(J24=1,J30-H30,""))))</f>
        <v/>
      </c>
      <c r="AK24" s="68">
        <f>IF(AL9&lt;1,"",IF(AL8&lt;4,"",IF(L24=1,L30-N30,IF(N24=1,N30-L30,""))))</f>
        <v>1</v>
      </c>
      <c r="AL24" s="68" t="str">
        <f>IF(AL9&lt;1,"",IF(AL8&lt;5,"",IF(O24=1,O30-Q30,IF(Q24=1,Q30-O30,""))))</f>
        <v/>
      </c>
      <c r="AM24" s="68">
        <f>IF(AL9&lt;1,"",IF(AL8&lt;6,"",IF(R24=1,R30-T30,IF(T24=1,T30-R30,""))))</f>
        <v>-10</v>
      </c>
      <c r="AN24" s="68" t="str">
        <f>IF(AL9&lt;1,"",IF(AL8&lt;7,"",IF(U24=1,U30-W30,IF(W24=1,W30-U30,""))))</f>
        <v/>
      </c>
      <c r="AO24" s="68" t="str">
        <f>IF(AL9&lt;1,"",IF(AL8&lt;8,"",IF(X24=1,X30-Z30,IF(Z24=1,Z30-X30,""))))</f>
        <v/>
      </c>
      <c r="AP24" s="68" t="str">
        <f>IF(AL9&lt;1,"",IF(AL8&lt;9,"",IF(AA24=1,AA30-AC30,IF(AC24=1,AC30-AA30,""))))</f>
        <v/>
      </c>
      <c r="AQ24" s="68" t="str">
        <f>IF(AL9&lt;1,"",IF(AL8&lt;10,"",IF(AD24=1,AD30-AF30,IF(AF24=1,AF30-AD30,""))))</f>
        <v/>
      </c>
      <c r="AR24" s="63">
        <f>SUM(AH24:AQ24)</f>
        <v>3</v>
      </c>
      <c r="AT24" s="158"/>
      <c r="AU24" s="158"/>
    </row>
    <row r="25" spans="1:47" ht="15" x14ac:dyDescent="0.25">
      <c r="A25" t="s">
        <v>51</v>
      </c>
      <c r="B25" s="69">
        <v>19</v>
      </c>
      <c r="C25" s="70" t="s">
        <v>52</v>
      </c>
      <c r="D25" s="71">
        <v>16</v>
      </c>
      <c r="E25" s="69">
        <v>28</v>
      </c>
      <c r="F25" s="70" t="str">
        <f>IF(AL8&gt;1,"/","")</f>
        <v>/</v>
      </c>
      <c r="G25" s="71">
        <v>16</v>
      </c>
      <c r="H25" s="69">
        <v>27</v>
      </c>
      <c r="I25" s="70" t="str">
        <f>IF(AL8&gt;2,"/","")</f>
        <v>/</v>
      </c>
      <c r="J25" s="71">
        <v>12</v>
      </c>
      <c r="K25" s="288"/>
      <c r="L25" s="69">
        <v>23</v>
      </c>
      <c r="M25" s="70" t="str">
        <f>IF(AL8&gt;3,"/","")</f>
        <v>/</v>
      </c>
      <c r="N25" s="71">
        <v>22</v>
      </c>
      <c r="O25" s="69">
        <v>20</v>
      </c>
      <c r="P25" s="70" t="str">
        <f>IF(AL8&gt;4,"/","")</f>
        <v>/</v>
      </c>
      <c r="Q25" s="71">
        <v>17</v>
      </c>
      <c r="R25" s="69">
        <v>14</v>
      </c>
      <c r="S25" s="70" t="str">
        <f>IF(AL8&gt;5,"/","")</f>
        <v>/</v>
      </c>
      <c r="T25" s="71">
        <v>24</v>
      </c>
      <c r="U25" s="69"/>
      <c r="V25" s="70" t="str">
        <f>IF(AL8&gt;6,"/","")</f>
        <v/>
      </c>
      <c r="W25" s="71"/>
      <c r="X25" s="69"/>
      <c r="Y25" s="70" t="str">
        <f>IF(AL8&gt;7,"/","")</f>
        <v/>
      </c>
      <c r="Z25" s="71"/>
      <c r="AA25" s="69"/>
      <c r="AB25" s="70" t="str">
        <f>IF(AL8&gt;8,"/","")</f>
        <v/>
      </c>
      <c r="AC25" s="71"/>
      <c r="AD25" s="69"/>
      <c r="AE25" s="70" t="str">
        <f>IF(AL8&gt;9,"/","")</f>
        <v/>
      </c>
      <c r="AF25" s="71"/>
      <c r="AG25" s="67" t="str">
        <f>IF(AL9&gt;1,"Team 2","")</f>
        <v>Team 2</v>
      </c>
      <c r="AH25" s="68">
        <f>IF(AL9&lt;2,"",IF(AL8&lt;1,"",IF(B24=2,B30-D30,IF(D24=2,D30-B30,""))))</f>
        <v>3</v>
      </c>
      <c r="AI25" s="68" t="str">
        <f>IF(AL9&lt;2,"",IF(AL8&lt;2,"",IF(E24=2,E30-G30,IF(G24=2,G30-E30,""))))</f>
        <v/>
      </c>
      <c r="AJ25" s="68">
        <f>IF(AL9&lt;2,"",IF(AL8&lt;3,"",IF(H24=2,H30-J30,IF(J24=2,J30-H30,""))))</f>
        <v>15</v>
      </c>
      <c r="AK25" s="68" t="str">
        <f>IF(AL9&lt;2,"",IF(AL8&lt;4,"",IF(L24=2,L30-N30,IF(N24=2,N30-L30,""))))</f>
        <v/>
      </c>
      <c r="AL25" s="68" t="str">
        <f>IF(AL9&lt;2,"",IF(AL8&lt;5,"",IF(O24=2,O30-Q30,IF(Q24=2,Q30-O30,""))))</f>
        <v/>
      </c>
      <c r="AM25" s="68">
        <f>IF(AL9&lt;2,"",IF(AL8&lt;6,"",IF(R24=2,R30-T30,IF(T24=2,T30-R30,""))))</f>
        <v>10</v>
      </c>
      <c r="AN25" s="68" t="str">
        <f>IF(AL9&lt;2,"",IF(AL8&lt;7,"",IF(U24=2,U30-W30,IF(W24=2,W30-U30,""))))</f>
        <v/>
      </c>
      <c r="AO25" s="68" t="str">
        <f>IF(AL9&lt;2,"",IF(AL8&lt;8,"",IF(X24=2,X30-Z30,IF(Z24=2,Z30-X30,""))))</f>
        <v/>
      </c>
      <c r="AP25" s="68" t="str">
        <f>IF(AL9&lt;2,"",IF(AL8&lt;9,"",IF(AA24=2,AA30-AC30,IF(AC24=2,AC30-AA30,""))))</f>
        <v/>
      </c>
      <c r="AQ25" s="68" t="str">
        <f>IF(AL9&lt;2,"",IF(AL8&lt;10,"",IF(AD24=2,AD30-AF30,IF(AF24=2,AF30-AD30,""))))</f>
        <v/>
      </c>
      <c r="AR25" s="63">
        <f>SUM(AH25:AQ25)</f>
        <v>28</v>
      </c>
    </row>
    <row r="26" spans="1:47" ht="15" x14ac:dyDescent="0.25">
      <c r="A26" s="3" t="str">
        <f>IF(AL7&gt;1,"Game 2","")</f>
        <v/>
      </c>
      <c r="B26" s="69"/>
      <c r="C26" s="70" t="s">
        <v>52</v>
      </c>
      <c r="D26" s="71"/>
      <c r="E26" s="69"/>
      <c r="F26" s="70" t="str">
        <f>IF(AL8&gt;1,IF(AL7&gt;1,"/",""),"")</f>
        <v/>
      </c>
      <c r="G26" s="71"/>
      <c r="H26" s="69"/>
      <c r="I26" s="70" t="str">
        <f>IF(AL8&gt;2,IF(AL7&gt;1,"/",""),"")</f>
        <v/>
      </c>
      <c r="J26" s="71"/>
      <c r="K26" s="288"/>
      <c r="L26" s="69"/>
      <c r="M26" s="70" t="str">
        <f>IF(AL8&gt;3,IF(AL7&gt;1,"/",""),"")</f>
        <v/>
      </c>
      <c r="N26" s="71"/>
      <c r="O26" s="69"/>
      <c r="P26" s="70" t="str">
        <f>IF(AL8&gt;4,IF(AL7&gt;1,"/",""),"")</f>
        <v/>
      </c>
      <c r="Q26" s="71"/>
      <c r="R26" s="69"/>
      <c r="S26" s="70" t="str">
        <f>IF(AL8&gt;5,IF(AL7&gt;1,"/",""),"")</f>
        <v/>
      </c>
      <c r="T26" s="71"/>
      <c r="U26" s="69"/>
      <c r="V26" s="70" t="str">
        <f>IF(AL8&gt;6,IF(AL7&gt;1,"/",""),"")</f>
        <v/>
      </c>
      <c r="W26" s="71"/>
      <c r="X26" s="69"/>
      <c r="Y26" s="70" t="str">
        <f>IF(AL8&gt;7,IF(AL7&gt;1,"/",""),"")</f>
        <v/>
      </c>
      <c r="Z26" s="71"/>
      <c r="AA26" s="69"/>
      <c r="AB26" s="70" t="str">
        <f>IF(AL8&gt;8,IF(AL7&gt;1,"/",""),"")</f>
        <v/>
      </c>
      <c r="AC26" s="71"/>
      <c r="AD26" s="69"/>
      <c r="AE26" s="70" t="str">
        <f>IF(AL8&gt;9,IF(AL7&gt;1,"/",""),"")</f>
        <v/>
      </c>
      <c r="AF26" s="71"/>
      <c r="AG26" s="67" t="str">
        <f>IF(AL9&gt;2,"Team 3","")</f>
        <v>Team 3</v>
      </c>
      <c r="AH26" s="68">
        <f>IF(AL9&lt;3,"",IF(AL8&lt;1,"",IF(B24=3,B30-D30,IF(D24=3,D30-B30,""))))</f>
        <v>-3</v>
      </c>
      <c r="AI26" s="68" t="str">
        <f>IF(AL9&lt;3,"",IF(AL8&lt;2,"",IF(E24=3,E30-G30,IF(G24=3,G30-E30,""))))</f>
        <v/>
      </c>
      <c r="AJ26" s="68" t="str">
        <f>IF(AL9&lt;3,"",IF(AL8&lt;3,"",IF(H24=3,H30-J30,IF(J24=3,J30-H30,""))))</f>
        <v/>
      </c>
      <c r="AK26" s="68">
        <f>IF(AL9&lt;3,"",IF(AL8&lt;4,"",IF(L24=3,L30-N30,IF(N24=3,N30-L30,""))))</f>
        <v>-1</v>
      </c>
      <c r="AL26" s="68">
        <f>IF(AL9&lt;3,"",IF(AL8&lt;5,"",IF(O24=3,O30-Q30,IF(Q24=3,Q30-O30,""))))</f>
        <v>3</v>
      </c>
      <c r="AM26" s="68" t="str">
        <f>IF(AL9&lt;3,"",IF(AL8&lt;6,"",IF(R24=3,R30-T30,IF(T24=3,T30-R30,""))))</f>
        <v/>
      </c>
      <c r="AN26" s="68" t="str">
        <f>IF(AL9&lt;3,"",IF(AL8&lt;7,"",IF(U24=3,U30-W30,IF(W24=3,W30-U30,""))))</f>
        <v/>
      </c>
      <c r="AO26" s="68" t="str">
        <f>IF(AL9&lt;3,"",IF(AL8&lt;8,"",IF(X24=3,X30-Z30,IF(Z24=3,Z30-X30,""))))</f>
        <v/>
      </c>
      <c r="AP26" s="68" t="str">
        <f>IF(AL9&lt;3,"",IF(AL8&lt;9,"",IF(AA24=3,AA30-AC30,IF(AC24=3,AC30-AA30,""))))</f>
        <v/>
      </c>
      <c r="AQ26" s="68" t="str">
        <f>IF(AL9&lt;3,"",IF(AL8&lt;9,"",IF(AD24=3,AD30-AF30,IF(AF24=3,AF30-AD30,""))))</f>
        <v/>
      </c>
      <c r="AR26" s="63">
        <f>SUM(AH26:AQ26)</f>
        <v>-1</v>
      </c>
    </row>
    <row r="27" spans="1:47" ht="15" x14ac:dyDescent="0.25">
      <c r="A27" s="3" t="str">
        <f>IF(AL7&gt;2,"Game 3","")</f>
        <v/>
      </c>
      <c r="B27" s="69"/>
      <c r="C27" s="70" t="s">
        <v>52</v>
      </c>
      <c r="D27" s="71"/>
      <c r="E27" s="69"/>
      <c r="F27" s="70" t="str">
        <f>IF(AL8&gt;1,IF(AL7&gt;2,"/",""),"")</f>
        <v/>
      </c>
      <c r="G27" s="71"/>
      <c r="H27" s="69"/>
      <c r="I27" s="70" t="str">
        <f>IF(AL8&gt;2,IF(AL7&gt;2,"/",""),"")</f>
        <v/>
      </c>
      <c r="J27" s="71"/>
      <c r="K27" s="288"/>
      <c r="L27" s="69"/>
      <c r="M27" s="70" t="str">
        <f>IF(AL8&gt;3,IF(AL7&gt;2,"/",""),"")</f>
        <v/>
      </c>
      <c r="N27" s="71"/>
      <c r="O27" s="69"/>
      <c r="P27" s="70" t="str">
        <f>IF(AL8&gt;4,IF(AL7&gt;2,"/",""),"")</f>
        <v/>
      </c>
      <c r="Q27" s="71"/>
      <c r="R27" s="69"/>
      <c r="S27" s="70" t="str">
        <f>IF(AL8&gt;5,IF(AL7&gt;2,"/",""),"")</f>
        <v/>
      </c>
      <c r="T27" s="71"/>
      <c r="U27" s="69"/>
      <c r="V27" s="70" t="str">
        <f>IF(AL8&gt;6,IF(AL7&gt;2,"/",""),"")</f>
        <v/>
      </c>
      <c r="W27" s="71"/>
      <c r="X27" s="69"/>
      <c r="Y27" s="70" t="str">
        <f>IF(AL8&gt;7,IF(AL7&gt;2,"/",""),"")</f>
        <v/>
      </c>
      <c r="Z27" s="71"/>
      <c r="AA27" s="69"/>
      <c r="AB27" s="70" t="str">
        <f>IF(AL8&gt;8,IF(AL7&gt;2,"/",""),"")</f>
        <v/>
      </c>
      <c r="AC27" s="71"/>
      <c r="AD27" s="69"/>
      <c r="AE27" s="70" t="str">
        <f>IF(AL8&gt;9,IF(AL7&gt;2,"/",""),"")</f>
        <v/>
      </c>
      <c r="AF27" s="71"/>
      <c r="AG27" s="67" t="str">
        <f>IF(AL9&gt;3,"Team 4","")</f>
        <v>Team 4</v>
      </c>
      <c r="AH27" s="68" t="str">
        <f>IF(AL9&lt;4,"",IF(AL8&lt;1,"",IF(B24=4,B30-D30,IF(D24=4,D30-B30,""))))</f>
        <v/>
      </c>
      <c r="AI27" s="68">
        <f>IF(AL9&lt;4,"",IF(AL8&lt;2,"",IF(E24=4,E30-G30,IF(G24=4,G30-E30,""))))</f>
        <v>-12</v>
      </c>
      <c r="AJ27" s="68">
        <f>IF(AL9&lt;4,"",IF(AL8&lt;3,"",IF(H24=4,H30-J30,IF(J24=4,J30-H30,""))))</f>
        <v>-15</v>
      </c>
      <c r="AK27" s="68" t="str">
        <f>IF(AL9&lt;4,"",IF(AL8&lt;4,"",IF(L24=4,L30-N30,IF(N24=4,N30-L30,""))))</f>
        <v/>
      </c>
      <c r="AL27" s="68">
        <f>IF(AL9&lt;4,"",IF(AL8&lt;5,"",IF(O24=4,O30-Q30,IF(Q24=4,Q30-O30,""))))</f>
        <v>-3</v>
      </c>
      <c r="AM27" s="68" t="str">
        <f>IF(AL9&lt;4,"",IF(AL8&lt;6,"",IF(R24=4,R30-T30,IF(T24=4,T30-R30,""))))</f>
        <v/>
      </c>
      <c r="AN27" s="68" t="str">
        <f>IF(AL9&lt;4,"",IF(AL8&lt;7,"",IF(U24=4,U30-W30,IF(W24=4,W30-U30,""))))</f>
        <v/>
      </c>
      <c r="AO27" s="68" t="str">
        <f>IF(AL9&lt;4,"",IF(AL8&lt;8,"",IF(X24=4,X30-Z30,IF(Z24=4,Z30-X30,""))))</f>
        <v/>
      </c>
      <c r="AP27" s="68" t="str">
        <f>IF(AL9&lt;4,"",IF(AL8&lt;9,"",IF(AA24=4,AA30-AC30,IF(AC24=4,AC30-AA30,""))))</f>
        <v/>
      </c>
      <c r="AQ27" s="68" t="str">
        <f>IF(AL9&lt;4,"",IF(AL8&lt;10,"",IF(AD24=4,AD30-AF30,IF(AF24=4,AF30-AD30,""))))</f>
        <v/>
      </c>
      <c r="AR27" s="63">
        <f>SUM(AH27:AQ27)</f>
        <v>-30</v>
      </c>
    </row>
    <row r="28" spans="1:47" ht="15" x14ac:dyDescent="0.25">
      <c r="A28" s="3" t="str">
        <f>IF(AL7&gt;3,"Game 4","")</f>
        <v/>
      </c>
      <c r="B28" s="69"/>
      <c r="C28" s="70" t="s">
        <v>52</v>
      </c>
      <c r="D28" s="71"/>
      <c r="E28" s="69"/>
      <c r="F28" s="70" t="str">
        <f>IF(AL8&gt;1,IF(AL7&gt;3,"/",""),"")</f>
        <v/>
      </c>
      <c r="G28" s="71"/>
      <c r="H28" s="69"/>
      <c r="I28" s="70" t="str">
        <f>IF(AL8&gt;2,IF(AL7&gt;3,"/",""),"")</f>
        <v/>
      </c>
      <c r="J28" s="71"/>
      <c r="K28" s="288"/>
      <c r="L28" s="69"/>
      <c r="M28" s="70" t="str">
        <f>IF(AL8&gt;3,IF(AL7&gt;3,"/",""),"")</f>
        <v/>
      </c>
      <c r="N28" s="71"/>
      <c r="O28" s="69"/>
      <c r="P28" s="70" t="str">
        <f>IF(AL8&gt;4,IF(AL7&gt;3,"/",""),"")</f>
        <v/>
      </c>
      <c r="Q28" s="71"/>
      <c r="R28" s="69"/>
      <c r="S28" s="70" t="str">
        <f>IF(AL8&gt;5,IF(AL7&gt;3,"/",""),"")</f>
        <v/>
      </c>
      <c r="T28" s="71"/>
      <c r="U28" s="69"/>
      <c r="V28" s="70" t="str">
        <f>IF(AL8&gt;6,IF(AL7&gt;3,"/",""),"")</f>
        <v/>
      </c>
      <c r="W28" s="71"/>
      <c r="X28" s="69"/>
      <c r="Y28" s="70" t="str">
        <f>IF(AL8&gt;7,IF(AL7&gt;3,"/",""),"")</f>
        <v/>
      </c>
      <c r="Z28" s="71"/>
      <c r="AA28" s="69"/>
      <c r="AB28" s="70" t="str">
        <f>IF(AL8&gt;8,IF(AL7&gt;3,"/",""),"")</f>
        <v/>
      </c>
      <c r="AC28" s="71"/>
      <c r="AD28" s="69"/>
      <c r="AE28" s="70" t="str">
        <f>IF(AL8&gt;9,IF(AL7&gt;3,"/",""),"")</f>
        <v/>
      </c>
      <c r="AF28" s="71"/>
      <c r="AG28" s="67" t="str">
        <f>IF(AL9&gt;4,"Team 5","")</f>
        <v/>
      </c>
      <c r="AH28" s="72" t="str">
        <f>IF(AL9&lt;5,"",IF(AL8&lt;1,"",IF(B24=5,B30-D30,IF(D24=5,D30-B30,""))))</f>
        <v/>
      </c>
      <c r="AI28" s="68" t="str">
        <f>IF(AL9&lt;5,"",IF(AL8&lt;2,"",IF(E24=5,E30-G30,IF(G24=5,G30-E30,""))))</f>
        <v/>
      </c>
      <c r="AJ28" s="68" t="str">
        <f>IF(AL9&lt;5,"",IF(AL8&lt;3,"",IF(H24=5,H30-J30,IF(J24=5,J30-H30,""))))</f>
        <v/>
      </c>
      <c r="AK28" s="68" t="str">
        <f>IF(AL9&lt;5,"",IF(AL8&lt;4,"",IF(L24=5,L30-N30,IF(N24=5,N30-L30,""))))</f>
        <v/>
      </c>
      <c r="AL28" s="68" t="str">
        <f>IF(AL9&lt;5,"",IF(AL8&lt;5,"",IF(O24=5,O30-Q30,IF(Q24=5,Q30-O30,""))))</f>
        <v/>
      </c>
      <c r="AM28" s="68" t="str">
        <f>IF(AL9&lt;5,"",IF(AL8&lt;6,"",IF(R24=5,R30-T30,IF(T24=5,T30-R30,""))))</f>
        <v/>
      </c>
      <c r="AN28" s="68" t="str">
        <f>IF(AL9&lt;5,"",IF(AL8&lt;7,"",IF(U24=5,U30-W30,IF(W24=5,W30-U30,""))))</f>
        <v/>
      </c>
      <c r="AO28" s="68" t="str">
        <f>IF(AL9&lt;5,"",IF(AL8&lt;8,"",IF(X24=5,X30-Z30,IF(Z24=5,Z30-X30,""))))</f>
        <v/>
      </c>
      <c r="AP28" s="68" t="str">
        <f>IF(AL9&lt;5,"",IF(AL8&lt;9,"",IF(AA24=5,AA30-AC30,IF(AC24=5,AC30-AA30,""))))</f>
        <v/>
      </c>
      <c r="AQ28" s="68" t="str">
        <f>IF(AL9&lt;5,"",IF(AL8&lt;10,"",IF(AD24=5,AD30-AF30,IF(AF24=5,AF30-AD30,""))))</f>
        <v/>
      </c>
      <c r="AR28" s="63">
        <f>SUM(AH28:AQ28)</f>
        <v>0</v>
      </c>
    </row>
    <row r="29" spans="1:47" ht="15" x14ac:dyDescent="0.25">
      <c r="A29" s="3" t="str">
        <f>IF(AL7&gt;4,"Game 5","")</f>
        <v/>
      </c>
      <c r="B29" s="69"/>
      <c r="C29" s="70" t="s">
        <v>52</v>
      </c>
      <c r="D29" s="71"/>
      <c r="E29" s="69"/>
      <c r="F29" s="70" t="str">
        <f>IF(AL8&gt;1,IF(AL7&gt;4,"/",""),"")</f>
        <v/>
      </c>
      <c r="G29" s="71"/>
      <c r="H29" s="69"/>
      <c r="I29" s="70" t="str">
        <f>IF(AL8&gt;2,IF(AL7&gt;4,"/",""),"")</f>
        <v/>
      </c>
      <c r="J29" s="71"/>
      <c r="K29" s="289"/>
      <c r="L29" s="69"/>
      <c r="M29" s="70" t="str">
        <f>IF(AL8&gt;3,IF(AL7&gt;4,"/",""),"")</f>
        <v/>
      </c>
      <c r="N29" s="71"/>
      <c r="O29" s="69"/>
      <c r="P29" s="70" t="str">
        <f>IF(AL8&gt;4,IF(AL7&gt;4,"/",""),"")</f>
        <v/>
      </c>
      <c r="Q29" s="71"/>
      <c r="R29" s="69"/>
      <c r="S29" s="70" t="str">
        <f>IF(AL8&gt;5,IF(AL7&gt;4,"/",""),"")</f>
        <v/>
      </c>
      <c r="T29" s="71"/>
      <c r="U29" s="69"/>
      <c r="V29" s="70" t="str">
        <f>IF(AL8&gt;6,IF(AL7&gt;4,"/",""),"")</f>
        <v/>
      </c>
      <c r="W29" s="71"/>
      <c r="X29" s="69"/>
      <c r="Y29" s="70" t="str">
        <f>IF(AL8&gt;7,IF(AL7&gt;4,"/",""),"")</f>
        <v/>
      </c>
      <c r="Z29" s="71"/>
      <c r="AA29" s="69"/>
      <c r="AB29" s="70" t="str">
        <f>IF(AL8&gt;8,IF(AL7&gt;4,"/",""),"")</f>
        <v/>
      </c>
      <c r="AC29" s="71"/>
      <c r="AD29" s="69"/>
      <c r="AE29" s="70" t="str">
        <f>IF(AL8&gt;9,IF(AL7&gt;4,"/",""),"")</f>
        <v/>
      </c>
      <c r="AF29" s="7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</row>
    <row r="30" spans="1:47" hidden="1" x14ac:dyDescent="0.25">
      <c r="A30" s="73"/>
      <c r="B30" s="73">
        <f>IF($AL7=5,SUM(B25:B29),IF($AL7=4,SUM(B25:B28),IF($AL7=3,SUM(B25:B27),IF($AL7=2,SUM(B25:B26),B25))))</f>
        <v>19</v>
      </c>
      <c r="C30" s="73"/>
      <c r="D30" s="73">
        <f>IF($AL7=5,SUM(D25:D29),IF($AL7=4,SUM(D25:D28),IF($AL7=3,SUM(D25:D27),IF($AL7=2,SUM(D25:D26),D25))))</f>
        <v>16</v>
      </c>
      <c r="E30" s="73">
        <f>IF($AL7=5,SUM(E25:E29),IF($AL7=4,SUM(E25:E28),IF($AL7=3,SUM(E25:E27),IF($AL7=2,SUM(E25:E26),E25))))</f>
        <v>28</v>
      </c>
      <c r="F30" s="73"/>
      <c r="G30" s="73">
        <f>IF($AL7=5,SUM(G25:G29),IF($AL7=4,SUM(G25:G28),IF($AL7=3,SUM(G25:G27),IF($AL7=2,SUM(G25:G26),G25))))</f>
        <v>16</v>
      </c>
      <c r="H30" s="73">
        <f>IF($AL7=5,SUM(H25:H29),IF($AL7=4,SUM(H25:H28),IF($AL7=3,SUM(H25:H27),IF($AL7=2,SUM(H25:H26),H25))))</f>
        <v>27</v>
      </c>
      <c r="I30" s="73"/>
      <c r="J30" s="73">
        <f>IF($AL7=5,SUM(J25:J29),IF($AL7=4,SUM(J25:J28),IF($AL7=3,SUM(J25:J27),IF($AL7=2,SUM(J25:J26),J25))))</f>
        <v>12</v>
      </c>
      <c r="K30" s="73"/>
      <c r="L30" s="73">
        <f>IF($AL7=5,SUM(L25:L29),IF($AL7=4,SUM(L25:L28),IF($AL7=3,SUM(L25:L27),IF($AL7=2,SUM(L25:L26),L25))))</f>
        <v>23</v>
      </c>
      <c r="M30" s="73"/>
      <c r="N30" s="73">
        <f>IF($AL7=5,SUM(N25:N29),IF($AL7=4,SUM(N25:N28),IF($AL7=3,SUM(N25:N27),IF($AL7=2,SUM(N25:N26),N25))))</f>
        <v>22</v>
      </c>
      <c r="O30" s="73">
        <f>IF($AL7=5,SUM(O25:O29),IF($AL7=4,SUM(O25:O28),IF($AL7=3,SUM(O25:O27),IF($AL7=2,SUM(O25:O26),O25))))</f>
        <v>20</v>
      </c>
      <c r="P30" s="73"/>
      <c r="Q30" s="73">
        <f>IF($AL7=5,SUM(Q25:Q29),IF($AL7=4,SUM(Q25:Q28),IF($AL7=3,SUM(Q25:Q27),IF($AL7=2,SUM(Q25:Q26),Q25))))</f>
        <v>17</v>
      </c>
      <c r="R30" s="73">
        <f>IF($AL7=5,SUM(R25:R29),IF($AL7=4,SUM(R25:R28),IF($AL7=3,SUM(R25:R27),IF($AL7=2,SUM(R25:R26),R25))))</f>
        <v>14</v>
      </c>
      <c r="S30" s="73"/>
      <c r="T30" s="73">
        <f>IF($AL7=5,SUM(T25:T29),IF($AL7=4,SUM(T25:T28),IF($AL7=3,SUM(T25:T27),IF($AL7=2,SUM(T25:T26),T25))))</f>
        <v>24</v>
      </c>
      <c r="U30" s="73">
        <f>IF($AL7=5,SUM(U25:U29),IF($AL7=4,SUM(U25:U28),IF($AL7=3,SUM(U25:U27),IF($AL7=2,SUM(U25:U26),U25))))</f>
        <v>0</v>
      </c>
      <c r="V30" s="73"/>
      <c r="W30" s="73">
        <f>IF($AL7=5,SUM(W25:W29),IF($AL7=4,SUM(W25:W28),IF($AL7=3,SUM(W25:W27),IF($AL7=2,SUM(W25:W26),W25))))</f>
        <v>0</v>
      </c>
      <c r="X30" s="73">
        <f>IF($AL7=5,SUM(X25:X29),IF($AL7=4,SUM(X25:X28),IF($AL7=3,SUM(X25:X27),IF($AL7=2,SUM(X25:X26),X25))))</f>
        <v>0</v>
      </c>
      <c r="Y30" s="73"/>
      <c r="Z30" s="73">
        <f>IF($AL7=5,SUM(Z25:Z29),IF($AL7=4,SUM(Z25:Z28),IF($AL7=3,SUM(Z25:Z27),IF($AL7=2,SUM(Z25:Z26),Z25))))</f>
        <v>0</v>
      </c>
      <c r="AA30" s="73">
        <f>IF($AL7=5,SUM(AA25:AA29),IF($AL7=4,SUM(AA25:AA28),IF($AL7=3,SUM(AA25:AA27),IF($AL7=2,SUM(AA25:AA26),AA25))))</f>
        <v>0</v>
      </c>
      <c r="AB30" s="73"/>
      <c r="AC30" s="73">
        <f>IF($AL7=5,SUM(AC25:AC29),IF($AL7=4,SUM(AC25:AC28),IF($AL7=3,SUM(AC25:AC27),IF($AL7=2,SUM(AC25:AC26),AC25))))</f>
        <v>0</v>
      </c>
      <c r="AD30" s="73">
        <f>IF($AL7=5,SUM(AD25:AD29),IF($AL7=4,SUM(AD25:AD28),IF($AL7=3,SUM(AD25:AD27),IF($AL7=2,SUM(AD25:AD26),AD25))))</f>
        <v>0</v>
      </c>
      <c r="AE30" s="73"/>
      <c r="AF30" s="73">
        <f>IF($AL7=5,SUM(AF25:AF29),IF($AL7=4,SUM(AF25:AF28),IF($AL7=3,SUM(AF25:AF27),IF($AL7=2,SUM(AF25:AF26),AF25))))</f>
        <v>0</v>
      </c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</row>
    <row r="31" spans="1:47" s="74" customFormat="1" ht="12.75" hidden="1" customHeight="1" x14ac:dyDescent="0.25">
      <c r="A31" s="74" t="s">
        <v>53</v>
      </c>
      <c r="B31" s="75">
        <f>IF(AND(B25&gt;D25,$AL8&gt;0,ISNUMBER(B25),ISNUMBER(D25)),1,0)</f>
        <v>1</v>
      </c>
      <c r="C31" s="75"/>
      <c r="D31" s="76">
        <f>IF(AND(D25&gt;B25,$AL8&gt;0,ISNUMBER(B25),ISNUMBER(D25)),1,0)</f>
        <v>0</v>
      </c>
      <c r="E31" s="75">
        <f>IF(AND(E25&gt;G25,$AL8&gt;1,ISNUMBER(E25),ISNUMBER(G25)),1,0)</f>
        <v>1</v>
      </c>
      <c r="F31" s="75"/>
      <c r="G31" s="76">
        <f>IF(AND(G25&gt;E25,$AL8&gt;1,ISNUMBER(E25),ISNUMBER(G25)),1,0)</f>
        <v>0</v>
      </c>
      <c r="H31" s="75">
        <f>IF(AND(H25&gt;J25,$AL8&gt;2,ISNUMBER(H25),ISNUMBER(J25)),1,0)</f>
        <v>1</v>
      </c>
      <c r="I31" s="75"/>
      <c r="J31" s="76">
        <f>IF(AND(J25&gt;H25,$AL8&gt;2,ISNUMBER(H25),ISNUMBER(J25)),1,0)</f>
        <v>0</v>
      </c>
      <c r="K31" s="77"/>
      <c r="L31" s="75">
        <f>IF(AND(L25&gt;N25,$AL8&gt;3,ISNUMBER(L25),ISNUMBER(N25)),1,0)</f>
        <v>1</v>
      </c>
      <c r="M31" s="75"/>
      <c r="N31" s="76">
        <f>IF(AND(N25&gt;L25,$AL8&gt;3,ISNUMBER(L25),ISNUMBER(N25)),1,0)</f>
        <v>0</v>
      </c>
      <c r="O31" s="75">
        <f>IF(AND(O25&gt;Q25,$AL8&gt;4,ISNUMBER(O25),ISNUMBER(Q25)),1,0)</f>
        <v>1</v>
      </c>
      <c r="P31" s="75"/>
      <c r="Q31" s="76">
        <f>IF(AND(Q25&gt;O25,$AL8&gt;4,ISNUMBER(O25),ISNUMBER(Q25)),1,0)</f>
        <v>0</v>
      </c>
      <c r="R31" s="75">
        <f>IF(AND(R25&gt;T25,$AL8&gt;5,ISNUMBER(R25),ISNUMBER(T25)),1,0)</f>
        <v>0</v>
      </c>
      <c r="S31" s="75"/>
      <c r="T31" s="76">
        <f>IF(AND(T25&gt;R25,$AL8&gt;5,ISNUMBER(R25),ISNUMBER(T25)),1,0)</f>
        <v>1</v>
      </c>
      <c r="U31" s="75">
        <f>IF(AND(U25&gt;W25,$AL8&gt;6,ISNUMBER(U25),ISNUMBER(W25)),1,0)</f>
        <v>0</v>
      </c>
      <c r="V31" s="75"/>
      <c r="W31" s="76">
        <f>IF(AND(W25&gt;U25,$AL8&gt;6,ISNUMBER(U25),ISNUMBER(W25)),1,0)</f>
        <v>0</v>
      </c>
      <c r="X31" s="75">
        <f>IF(AND(X25&gt;Z25,$AL8&gt;7,ISNUMBER(X25),ISNUMBER(Z25)),1,0)</f>
        <v>0</v>
      </c>
      <c r="Y31" s="75"/>
      <c r="Z31" s="76">
        <f>IF(AND(Z25&gt;X25,$AL8&gt;7,ISNUMBER(X25),ISNUMBER(Z25)),1,0)</f>
        <v>0</v>
      </c>
      <c r="AA31" s="75">
        <f>IF(AND(AA25&gt;AC25,$AL8&gt;8,ISNUMBER(AA25),ISNUMBER(AC25)),1,0)</f>
        <v>0</v>
      </c>
      <c r="AB31" s="75"/>
      <c r="AC31" s="76">
        <f>IF(AND(AC25&gt;AA25,$AL8&gt;8,ISNUMBER(AA25),ISNUMBER(AC25)),1,0)</f>
        <v>0</v>
      </c>
      <c r="AD31" s="75">
        <f>IF(AND(AD25&gt;AF25,$AL8&gt;9,ISNUMBER(AD25),ISNUMBER(AF25)),1,0)</f>
        <v>0</v>
      </c>
      <c r="AE31" s="75"/>
      <c r="AF31" s="76">
        <f>IF(AND(AF25&gt;AD25,$AL8&gt;9,ISNUMBER(AD25),ISNUMBER(AF25)),1,0)</f>
        <v>0</v>
      </c>
    </row>
    <row r="32" spans="1:47" s="74" customFormat="1" ht="12.75" hidden="1" customHeight="1" x14ac:dyDescent="0.25">
      <c r="A32" s="74" t="s">
        <v>54</v>
      </c>
      <c r="B32" s="75">
        <f>IF(AND(B26&gt;D26,$AL8&gt;0,$AL7&gt;1,ISNUMBER(B26),ISNUMBER(D26)),1,0)</f>
        <v>0</v>
      </c>
      <c r="C32" s="75"/>
      <c r="D32" s="76">
        <f>IF(AND(D26&gt;B26,$AL8&gt;0,$AL7&gt;1,ISNUMBER(B26),ISNUMBER(D26)),1,0)</f>
        <v>0</v>
      </c>
      <c r="E32" s="75">
        <f>IF(AND(E26&gt;G26,$AL8&gt;1,$AL7&gt;1,ISNUMBER(E26),ISNUMBER(G26)),1,0)</f>
        <v>0</v>
      </c>
      <c r="F32" s="75"/>
      <c r="G32" s="76">
        <f>IF(AND(G26&gt;E26,$AL8&gt;1,$AL7&gt;1,ISNUMBER(E26),ISNUMBER(G26)),1,0)</f>
        <v>0</v>
      </c>
      <c r="H32" s="75">
        <f>IF(AND(H26&gt;J26,$AL8&gt;2,$AL7&gt;1,ISNUMBER(H26),ISNUMBER(J26)),1,0)</f>
        <v>0</v>
      </c>
      <c r="I32" s="75"/>
      <c r="J32" s="76">
        <f>IF(AND(J26&gt;H26,$AL8&gt;2,$AL7&gt;1,ISNUMBER(H26),ISNUMBER(J26)),1,0)</f>
        <v>0</v>
      </c>
      <c r="K32" s="77"/>
      <c r="L32" s="75">
        <f>IF(AND(L26&gt;N26,$AL8&gt;3,$AL7&gt;1,ISNUMBER(L26),ISNUMBER(N26)),1,0)</f>
        <v>0</v>
      </c>
      <c r="M32" s="75"/>
      <c r="N32" s="76">
        <f>IF(AND(N26&gt;L26,$AL8&gt;3,$AL7&gt;1,ISNUMBER(L26),ISNUMBER(N26)),1,0)</f>
        <v>0</v>
      </c>
      <c r="O32" s="75">
        <f>IF(AND(O26&gt;Q26,$AL8&gt;4,$AL7&gt;1,ISNUMBER(O26),ISNUMBER(Q26)),1,0)</f>
        <v>0</v>
      </c>
      <c r="P32" s="75"/>
      <c r="Q32" s="76">
        <f>IF(AND(Q26&gt;O26,$AL8&gt;4,$AL7&gt;1,ISNUMBER(O26),ISNUMBER(Q26)),1,0)</f>
        <v>0</v>
      </c>
      <c r="R32" s="75">
        <f>IF(AND(R26&gt;T26,$AL8&gt;5,$AL7&gt;1,ISNUMBER(R26),ISNUMBER(T26)),1,0)</f>
        <v>0</v>
      </c>
      <c r="S32" s="75"/>
      <c r="T32" s="76">
        <f>IF(AND(T26&gt;R26,$AL8&gt;5,$AL7&gt;1,ISNUMBER(R26),ISNUMBER(T26)),1,0)</f>
        <v>0</v>
      </c>
      <c r="U32" s="75">
        <f>IF(AND(U26&gt;W26,$AL8&gt;6,$AL7&gt;1,ISNUMBER(U26),ISNUMBER(W26)),1,0)</f>
        <v>0</v>
      </c>
      <c r="V32" s="75"/>
      <c r="W32" s="76">
        <f>IF(AND(W26&gt;U26,$AL8&gt;6,$AL7&gt;1,ISNUMBER(U26),ISNUMBER(W26)),1,0)</f>
        <v>0</v>
      </c>
      <c r="X32" s="75">
        <f>IF(AND(X26&gt;Z26,$AL8&gt;7,$AL7&gt;1,ISNUMBER(X26),ISNUMBER(Z26)),1,0)</f>
        <v>0</v>
      </c>
      <c r="Y32" s="75"/>
      <c r="Z32" s="76">
        <f>IF(AND(Z26&gt;X26,$AL8&gt;7,$AL7&gt;1,ISNUMBER(X26),ISNUMBER(Z26)),1,0)</f>
        <v>0</v>
      </c>
      <c r="AA32" s="75">
        <f>IF(AND(AA26&gt;AC26,$AL8&gt;8,$AL7&gt;1,ISNUMBER(AA26),ISNUMBER(AC26)),1,0)</f>
        <v>0</v>
      </c>
      <c r="AB32" s="75"/>
      <c r="AC32" s="76">
        <f>IF(AND(AC26&gt;AA26,$AL8&gt;8,$AL7&gt;1,ISNUMBER(AA26),ISNUMBER(AC26)),1,0)</f>
        <v>0</v>
      </c>
      <c r="AD32" s="75">
        <f>IF(AND(AD26&gt;AF26,$AL8&gt;9,$AL7&gt;1,ISNUMBER(AD26),ISNUMBER(AF26)),1,0)</f>
        <v>0</v>
      </c>
      <c r="AE32" s="75"/>
      <c r="AF32" s="76">
        <f>IF(AND(AF26&gt;AD26,$AL8&gt;9,$AL7&gt;1,ISNUMBER(AD26),ISNUMBER(AF26)),1,0)</f>
        <v>0</v>
      </c>
    </row>
    <row r="33" spans="1:34" s="74" customFormat="1" ht="12.75" hidden="1" customHeight="1" x14ac:dyDescent="0.25">
      <c r="A33" s="74" t="s">
        <v>55</v>
      </c>
      <c r="B33" s="75">
        <f>IF(AND(B27&gt;D27,$AL8&gt;0,$AL7&gt;2,ISNUMBER(B27),ISNUMBER(D27)),1,0)</f>
        <v>0</v>
      </c>
      <c r="C33" s="75"/>
      <c r="D33" s="76">
        <f>IF(AND(D27&gt;B27,$AL8&gt;0,$AL7&gt;2,ISNUMBER(B27),ISNUMBER(D27)),1,0)</f>
        <v>0</v>
      </c>
      <c r="E33" s="75">
        <f>IF(AND(E27&gt;G27,$AL8&gt;1,$AL7&gt;2,ISNUMBER(E27),ISNUMBER(G27)),1,0)</f>
        <v>0</v>
      </c>
      <c r="F33" s="75"/>
      <c r="G33" s="76">
        <f>IF(AND(G27&gt;E27,$AL8&gt;1,$AL7&gt;2,ISNUMBER(E27),ISNUMBER(G27)),1,0)</f>
        <v>0</v>
      </c>
      <c r="H33" s="75">
        <f>IF(AND(H27&gt;J27,$AL8&gt;2,$AL7&gt;2,ISNUMBER(H27),ISNUMBER(J27)),1,0)</f>
        <v>0</v>
      </c>
      <c r="I33" s="75"/>
      <c r="J33" s="76">
        <f>IF(AND(J27&gt;H27,$AL8&gt;2,$AL7&gt;2,ISNUMBER(H27),ISNUMBER(J27)),1,0)</f>
        <v>0</v>
      </c>
      <c r="K33" s="77"/>
      <c r="L33" s="75">
        <f>IF(AND(L27&gt;N27,$AL8&gt;3,$AL7&gt;2,ISNUMBER(L27),ISNUMBER(N27)),1,0)</f>
        <v>0</v>
      </c>
      <c r="M33" s="75"/>
      <c r="N33" s="76">
        <f>IF(AND(N27&gt;L27,$AL8&gt;3,$AL7&gt;2,ISNUMBER(L27),ISNUMBER(N27)),1,0)</f>
        <v>0</v>
      </c>
      <c r="O33" s="75">
        <f>IF(AND(O27&gt;Q27,$AL8&gt;4,$AL7&gt;2,ISNUMBER(O27),ISNUMBER(Q27)),1,0)</f>
        <v>0</v>
      </c>
      <c r="P33" s="75"/>
      <c r="Q33" s="76">
        <f>IF(AND(Q27&gt;O27,$AL8&gt;4,$AL7&gt;2,ISNUMBER(O27),ISNUMBER(Q27)),1,0)</f>
        <v>0</v>
      </c>
      <c r="R33" s="75">
        <f>IF(AND(R27&gt;T27,$AL8&gt;5,$AL7&gt;2,ISNUMBER(R27),ISNUMBER(T27)),1,0)</f>
        <v>0</v>
      </c>
      <c r="S33" s="75"/>
      <c r="T33" s="76">
        <f>IF(AND(T27&gt;R27,$AL8&gt;5,$AL7&gt;2,ISNUMBER(R27),ISNUMBER(T27)),1,0)</f>
        <v>0</v>
      </c>
      <c r="U33" s="75">
        <f>IF(AND(U27&gt;W27,$AL8&gt;6,$AL7&gt;2,ISNUMBER(U27),ISNUMBER(W27)),1,0)</f>
        <v>0</v>
      </c>
      <c r="V33" s="75"/>
      <c r="W33" s="76">
        <f>IF(AND(W27&gt;U27,$AL8&gt;6,$AL7&gt;2,ISNUMBER(U27),ISNUMBER(W27)),1,0)</f>
        <v>0</v>
      </c>
      <c r="X33" s="75">
        <f>IF(AND(X27&gt;Z27,$AL8&gt;7,$AL7&gt;2,ISNUMBER(X27),ISNUMBER(Z27)),1,0)</f>
        <v>0</v>
      </c>
      <c r="Y33" s="75"/>
      <c r="Z33" s="76">
        <f>IF(AND(Z27&gt;X27,$AL8&gt;7,$AL7&gt;2,ISNUMBER(X27),ISNUMBER(Z27)),1,0)</f>
        <v>0</v>
      </c>
      <c r="AA33" s="75">
        <f>IF(AND(AA27&gt;AC27,$AL8&gt;8,$AL7&gt;2,ISNUMBER(AA27),ISNUMBER(AC27)),1,0)</f>
        <v>0</v>
      </c>
      <c r="AB33" s="75"/>
      <c r="AC33" s="76">
        <f>IF(AND(AC27&gt;AA27,$AL8&gt;8,$AL7&gt;2,ISNUMBER(AA27),ISNUMBER(AC27)),1,0)</f>
        <v>0</v>
      </c>
      <c r="AD33" s="75">
        <f>IF(AND(AD27&gt;AF27,$AL8&gt;9,$AL7&gt;2,ISNUMBER(AD27),ISNUMBER(AF27)),1,0)</f>
        <v>0</v>
      </c>
      <c r="AE33" s="75"/>
      <c r="AF33" s="76">
        <f>IF(AND(AF27&gt;AD27,$AL8&gt;9,$AL7&gt;2,ISNUMBER(AD27),ISNUMBER(AF27)),1,0)</f>
        <v>0</v>
      </c>
    </row>
    <row r="34" spans="1:34" s="74" customFormat="1" ht="12.75" hidden="1" customHeight="1" x14ac:dyDescent="0.25">
      <c r="A34" s="74" t="s">
        <v>56</v>
      </c>
      <c r="B34" s="75">
        <f>IF(AND(B28&gt;D28,$AL8&gt;0,$AL7&gt;3,ISNUMBER(B28),ISNUMBER(D28)),1,0)</f>
        <v>0</v>
      </c>
      <c r="C34" s="75"/>
      <c r="D34" s="76">
        <f>IF(AND(D28&gt;B28,$AL8&gt;0,$AL7&gt;3,ISNUMBER(B28),ISNUMBER(D28)),1,0)</f>
        <v>0</v>
      </c>
      <c r="E34" s="75">
        <f>IF(AND(E28&gt;G28,$AL8&gt;1,$AL7&gt;3,ISNUMBER(E28),ISNUMBER(G28)),1,0)</f>
        <v>0</v>
      </c>
      <c r="F34" s="75"/>
      <c r="G34" s="76">
        <f>IF(AND(G28&gt;E28,$AL8&gt;1,$AL7&gt;3,ISNUMBER(E28),ISNUMBER(G28)),1,0)</f>
        <v>0</v>
      </c>
      <c r="H34" s="75">
        <f>IF(AND(H28&gt;J28,$AL8&gt;2,$AL7&gt;3,ISNUMBER(H28),ISNUMBER(J28)),1,0)</f>
        <v>0</v>
      </c>
      <c r="I34" s="75"/>
      <c r="J34" s="76">
        <f>IF(AND(J28&gt;H28,$AL8&gt;2,$AL7&gt;3,ISNUMBER(H28),ISNUMBER(J28)),1,0)</f>
        <v>0</v>
      </c>
      <c r="K34" s="77"/>
      <c r="L34" s="75">
        <f>IF(AND(L28&gt;N28,$AL8&gt;3,$AL7&gt;3,ISNUMBER(L28),ISNUMBER(N28)),1,0)</f>
        <v>0</v>
      </c>
      <c r="M34" s="75"/>
      <c r="N34" s="76">
        <f>IF(AND(N28&gt;L28,$AL8&gt;3,$AL7&gt;3,ISNUMBER(L28),ISNUMBER(N28)),1,0)</f>
        <v>0</v>
      </c>
      <c r="O34" s="75">
        <f>IF(AND(O28&gt;Q28,$AL8&gt;4,$AL7&gt;3,ISNUMBER(O28),ISNUMBER(Q28)),1,0)</f>
        <v>0</v>
      </c>
      <c r="P34" s="75"/>
      <c r="Q34" s="76">
        <f>IF(AND(Q28&gt;O28,$AL8&gt;4,$AL7&gt;3,ISNUMBER(O28),ISNUMBER(Q28)),1,0)</f>
        <v>0</v>
      </c>
      <c r="R34" s="75">
        <f>IF(AND(R28&gt;T28,$AL8&gt;5,$AL7&gt;3,ISNUMBER(R28),ISNUMBER(T28)),1,0)</f>
        <v>0</v>
      </c>
      <c r="S34" s="75"/>
      <c r="T34" s="76">
        <f>IF(AND(T28&gt;R28,$AL8&gt;5,$AL7&gt;3,ISNUMBER(R28),ISNUMBER(T28)),1,0)</f>
        <v>0</v>
      </c>
      <c r="U34" s="75">
        <f>IF(AND(U28&gt;W28,$AL8&gt;6,$AL7&gt;3,ISNUMBER(U28),ISNUMBER(W28)),1,0)</f>
        <v>0</v>
      </c>
      <c r="V34" s="75"/>
      <c r="W34" s="76">
        <f>IF(AND(W28&gt;U28,$AL8&gt;6,$AL7&gt;3,ISNUMBER(U28),ISNUMBER(W28)),1,0)</f>
        <v>0</v>
      </c>
      <c r="X34" s="75">
        <f>IF(AND(X28&gt;Z28,$AL8&gt;7,$AL7&gt;3,ISNUMBER(X28),ISNUMBER(Z28)),1,0)</f>
        <v>0</v>
      </c>
      <c r="Y34" s="75"/>
      <c r="Z34" s="76">
        <f>IF(AND(Z28&gt;X28,$AL8&gt;7,$AL7&gt;3,ISNUMBER(X28),ISNUMBER(Z28)),1,0)</f>
        <v>0</v>
      </c>
      <c r="AA34" s="75">
        <f>IF(AND(AA28&gt;AC28,$AL8&gt;8,$AL7&gt;3,ISNUMBER(AA28),ISNUMBER(AC28)),1,0)</f>
        <v>0</v>
      </c>
      <c r="AB34" s="75"/>
      <c r="AC34" s="76">
        <f>IF(AND(AC28&gt;AA28,$AL8&gt;8,$AL7&gt;3,ISNUMBER(AA28),ISNUMBER(AC28)),1,0)</f>
        <v>0</v>
      </c>
      <c r="AD34" s="75">
        <f>IF(AND(AD28&gt;AF28,$AL8&gt;9,$AL7&gt;3,ISNUMBER(AD28),ISNUMBER(AF28)),1,0)</f>
        <v>0</v>
      </c>
      <c r="AE34" s="75"/>
      <c r="AF34" s="76">
        <f>IF(AND(AF28&gt;AD28,$AL8&gt;9,$AL7&gt;3,ISNUMBER(AD28),ISNUMBER(AF28)),1,0)</f>
        <v>0</v>
      </c>
    </row>
    <row r="35" spans="1:34" s="74" customFormat="1" ht="12.75" hidden="1" customHeight="1" x14ac:dyDescent="0.25">
      <c r="A35" s="74" t="s">
        <v>57</v>
      </c>
      <c r="B35" s="75">
        <f>IF(AND(B29&gt;D29,$AL8&gt;0,$AL7&gt;4,ISNUMBER(B29),ISNUMBER(D29)),1,0)</f>
        <v>0</v>
      </c>
      <c r="C35" s="75"/>
      <c r="D35" s="76">
        <f>IF(AND(D29&gt;B29,$AL8&gt;0,$AL7&gt;4,ISNUMBER(B29),ISNUMBER(D29)),1,0)</f>
        <v>0</v>
      </c>
      <c r="E35" s="75">
        <f>IF(AND(E29&gt;G29,$AL8&gt;1,$AL7&gt;4,ISNUMBER(E29),ISNUMBER(G29)),1,0)</f>
        <v>0</v>
      </c>
      <c r="F35" s="75"/>
      <c r="G35" s="76">
        <f>IF(AND(G29&gt;E29,$AL8&gt;1,$AL7&gt;4,ISNUMBER(E29),ISNUMBER(G29)),1,0)</f>
        <v>0</v>
      </c>
      <c r="H35" s="75">
        <f>IF(AND(H29&gt;J29,$AL8&gt;2,$AL7&gt;4,ISNUMBER(H29),ISNUMBER(J29)),1,0)</f>
        <v>0</v>
      </c>
      <c r="I35" s="75"/>
      <c r="J35" s="76">
        <f>IF(AND(J29&gt;H29,$AL8&gt;2,$AL7&gt;4,ISNUMBER(H29),ISNUMBER(J29)),1,0)</f>
        <v>0</v>
      </c>
      <c r="K35" s="77"/>
      <c r="L35" s="75">
        <f>IF(AND(L29&gt;N29,$AL8&gt;3,$AL7&gt;4,ISNUMBER(L29),ISNUMBER(N29)),1,0)</f>
        <v>0</v>
      </c>
      <c r="M35" s="75"/>
      <c r="N35" s="76">
        <f>IF(AND(N29&gt;L29,$AL8&gt;3,$AL7&gt;4,ISNUMBER(L29),ISNUMBER(N29)),1,0)</f>
        <v>0</v>
      </c>
      <c r="O35" s="75">
        <f>IF(AND(O29&gt;Q29,$AL8&gt;4,$AL7&gt;4,ISNUMBER(O29),ISNUMBER(Q29)),1,0)</f>
        <v>0</v>
      </c>
      <c r="P35" s="75"/>
      <c r="Q35" s="76">
        <f>IF(AND(Q29&gt;O29,$AL8&gt;4,$AL7&gt;4,ISNUMBER(O29),ISNUMBER(Q29)),1,0)</f>
        <v>0</v>
      </c>
      <c r="R35" s="75">
        <f>IF(AND(R29&gt;T29,$AL8&gt;5,$AL7&gt;4,ISNUMBER(R29),ISNUMBER(T29)),1,0)</f>
        <v>0</v>
      </c>
      <c r="S35" s="75"/>
      <c r="T35" s="76">
        <f>IF(AND(T29&gt;R29,$AL8&gt;5,$AL7&gt;4,ISNUMBER(R29),ISNUMBER(T29)),1,0)</f>
        <v>0</v>
      </c>
      <c r="U35" s="75">
        <f>IF(AND(U29&gt;W29,$AL8&gt;6,$AL7&gt;4,ISNUMBER(U29),ISNUMBER(W29)),1,0)</f>
        <v>0</v>
      </c>
      <c r="V35" s="75"/>
      <c r="W35" s="76">
        <f>IF(AND(W29&gt;U29,$AL8&gt;6,$AL7&gt;4,ISNUMBER(U29),ISNUMBER(W29)),1,0)</f>
        <v>0</v>
      </c>
      <c r="X35" s="75">
        <f>IF(AND(X29&gt;Z29,$AL8&gt;7,$AL7&gt;4,ISNUMBER(X29),ISNUMBER(Z29)),1,0)</f>
        <v>0</v>
      </c>
      <c r="Y35" s="75"/>
      <c r="Z35" s="76">
        <f>IF(AND(Z29&gt;X29,$AL8&gt;7,$AL7&gt;4,ISNUMBER(X29),ISNUMBER(Z29)),1,0)</f>
        <v>0</v>
      </c>
      <c r="AA35" s="75">
        <f>IF(AND(AA29&gt;AC29,$AL8&gt;8,$AL7&gt;4,ISNUMBER(AA29),ISNUMBER(AC29)),1,0)</f>
        <v>0</v>
      </c>
      <c r="AB35" s="75"/>
      <c r="AC35" s="76">
        <f>IF(AND(AC29&gt;AA29,$AL8&gt;8,$AL7&gt;4,ISNUMBER(AA29),ISNUMBER(AC29)),1,0)</f>
        <v>0</v>
      </c>
      <c r="AD35" s="75">
        <f>IF(AND(AD29&gt;AF29,$AL8&gt;9,$AL7&gt;4,ISNUMBER(AD29),ISNUMBER(AF29)),1,0)</f>
        <v>0</v>
      </c>
      <c r="AE35" s="75"/>
      <c r="AF35" s="76">
        <f>IF(AND(AF29&gt;AD29,$AL8&gt;9,$AL7&gt;4,ISNUMBER(AD29),ISNUMBER(AF29)),1,0)</f>
        <v>0</v>
      </c>
    </row>
    <row r="36" spans="1:34" s="74" customFormat="1" ht="38.25" hidden="1" customHeight="1" x14ac:dyDescent="0.25">
      <c r="A36" s="78" t="s">
        <v>58</v>
      </c>
      <c r="B36" s="74">
        <f>SUM(B31:B35)</f>
        <v>1</v>
      </c>
      <c r="D36" s="77">
        <f>SUM(D31:D35)</f>
        <v>0</v>
      </c>
      <c r="E36" s="74">
        <f>SUM(E31:E35)</f>
        <v>1</v>
      </c>
      <c r="G36" s="77">
        <f>SUM(G31:G35)</f>
        <v>0</v>
      </c>
      <c r="H36" s="74">
        <f>SUM(H31:H35)</f>
        <v>1</v>
      </c>
      <c r="J36" s="77">
        <f>SUM(J31:J35)</f>
        <v>0</v>
      </c>
      <c r="K36" s="77"/>
      <c r="L36" s="74">
        <f>SUM(L31:L35)</f>
        <v>1</v>
      </c>
      <c r="N36" s="77">
        <f>SUM(N31:N35)</f>
        <v>0</v>
      </c>
      <c r="O36" s="74">
        <f>SUM(O31:O35)</f>
        <v>1</v>
      </c>
      <c r="Q36" s="77">
        <f>SUM(Q31:Q35)</f>
        <v>0</v>
      </c>
      <c r="R36" s="74">
        <f>SUM(R31:R35)</f>
        <v>0</v>
      </c>
      <c r="T36" s="77">
        <f>SUM(T31:T35)</f>
        <v>1</v>
      </c>
      <c r="U36" s="74">
        <f>SUM(U31:U35)</f>
        <v>0</v>
      </c>
      <c r="W36" s="77">
        <f>SUM(W31:W35)</f>
        <v>0</v>
      </c>
      <c r="X36" s="74">
        <f>SUM(X31:X35)</f>
        <v>0</v>
      </c>
      <c r="Z36" s="77">
        <f>SUM(Z31:Z35)</f>
        <v>0</v>
      </c>
      <c r="AA36" s="74">
        <f>SUM(AA31:AA35)</f>
        <v>0</v>
      </c>
      <c r="AC36" s="77">
        <f>SUM(AC31:AC35)</f>
        <v>0</v>
      </c>
      <c r="AD36" s="74">
        <f>SUM(AD31:AD35)</f>
        <v>0</v>
      </c>
      <c r="AF36" s="77">
        <f>SUM(AF31:AF35)</f>
        <v>0</v>
      </c>
    </row>
    <row r="37" spans="1:34" s="74" customFormat="1" ht="25.5" hidden="1" customHeight="1" x14ac:dyDescent="0.25">
      <c r="A37" s="78" t="s">
        <v>59</v>
      </c>
      <c r="B37" s="74">
        <f>IF(B36&gt;D36,IF(C71=AL7,1,IF(C71=AL7-1,1,0)),0)</f>
        <v>1</v>
      </c>
      <c r="C37" s="74">
        <f>B37+D37</f>
        <v>1</v>
      </c>
      <c r="D37" s="77">
        <f>IF(D36&gt;B36,IF(C71=AL7,1,IF(C71=AL7-1,1,0)),0)</f>
        <v>0</v>
      </c>
      <c r="E37" s="74">
        <f>IF(E36&gt;G36,IF(F71=AL7,1,IF(F71=AL7-1,1,0)),0)</f>
        <v>1</v>
      </c>
      <c r="F37" s="74">
        <f>E37+G37</f>
        <v>1</v>
      </c>
      <c r="G37" s="77">
        <f>IF(G36&gt;E36,IF(F71=AL7,1,IF(F71=AL7-1,1,0)),0)</f>
        <v>0</v>
      </c>
      <c r="H37" s="74">
        <f>IF(H36&gt;J36,IF(I71=AL7,1,IF(I71=AL7-1,1,0)),0)</f>
        <v>1</v>
      </c>
      <c r="I37" s="74">
        <f>H37+J37</f>
        <v>1</v>
      </c>
      <c r="J37" s="77">
        <f>IF(J36&gt;H36,IF(I71=AL7,1,IF(I71=AL7-1,1,0)),0)</f>
        <v>0</v>
      </c>
      <c r="K37" s="77"/>
      <c r="L37" s="74">
        <f>IF(L36&gt;N36,IF(M71=AL7,1,IF(M71=AL7-1,1,0)),0)</f>
        <v>1</v>
      </c>
      <c r="M37" s="74">
        <f>L37+N37</f>
        <v>1</v>
      </c>
      <c r="N37" s="77">
        <f>IF(N36&gt;L36,IF(M71=AL7,1,IF(M71=AL7-1,1,0)),0)</f>
        <v>0</v>
      </c>
      <c r="O37" s="74">
        <f>IF(O36&gt;Q36,IF(P71=AL7,1,IF(P71=AL7-1,1,0)),0)</f>
        <v>1</v>
      </c>
      <c r="P37" s="74">
        <f>O37+Q37</f>
        <v>1</v>
      </c>
      <c r="Q37" s="77">
        <f>IF(Q36&gt;O36,IF(P71=AL7,1,IF(P71=AL7-1,1,0)),0)</f>
        <v>0</v>
      </c>
      <c r="R37" s="74">
        <f>IF(R36&gt;T36,IF(S71=AL7,1,IF(S71=AL7-1,1,0)),0)</f>
        <v>0</v>
      </c>
      <c r="S37" s="74">
        <f>R37+T37</f>
        <v>1</v>
      </c>
      <c r="T37" s="77">
        <f>IF(T36&gt;R36,IF(S71=AL7,1,IF(S71=AL7-1,1,0)),0)</f>
        <v>1</v>
      </c>
      <c r="U37" s="74">
        <f>IF(U36&gt;W36,IF(V71=AL7,1,IF(V71=AL7-1,1,0)),0)</f>
        <v>0</v>
      </c>
      <c r="V37" s="74">
        <f>U37+W37</f>
        <v>0</v>
      </c>
      <c r="W37" s="77">
        <f>IF(W36&gt;U36,IF(V71=AL7,1,IF(V71=AL7-1,1,0)),0)</f>
        <v>0</v>
      </c>
      <c r="X37" s="74">
        <f>IF(X36&gt;Z36,IF(Y71=AL7,1,IF(Y71=AL7-1,1,0)),0)</f>
        <v>0</v>
      </c>
      <c r="Y37" s="74">
        <f>X37+Z37</f>
        <v>0</v>
      </c>
      <c r="Z37" s="77">
        <f>IF(Z36&gt;X36,IF(Y71=AL7,1,IF(Y71=AL7-1,1,0)),0)</f>
        <v>0</v>
      </c>
      <c r="AA37" s="74">
        <f>IF(AA36&gt;AC36,IF(AB71=AL7,1,IF(AB71=AL7-1,1,0)),0)</f>
        <v>0</v>
      </c>
      <c r="AB37" s="74">
        <f>AA37+AC37</f>
        <v>0</v>
      </c>
      <c r="AC37" s="77">
        <f>IF(AC36&gt;AA36,IF(AB71=AL7,1,IF(AB71=AL7-1,1,0)),0)</f>
        <v>0</v>
      </c>
      <c r="AD37" s="74">
        <f>IF(AD36&gt;AF36,IF(AE71=AL7,1,IF(AE71=AL7-1,1,0)),0)</f>
        <v>0</v>
      </c>
      <c r="AE37" s="74">
        <f>AD37+AF37</f>
        <v>0</v>
      </c>
      <c r="AF37" s="77">
        <f>IF(AF36&gt;AD36,IF(AE71=AL7,1,IF(AE71=AL7-1,1,0)),0)</f>
        <v>0</v>
      </c>
    </row>
    <row r="38" spans="1:34" s="74" customFormat="1" ht="25.5" hidden="1" customHeight="1" x14ac:dyDescent="0.25">
      <c r="A38" s="78"/>
      <c r="D38" s="77"/>
      <c r="G38" s="77"/>
      <c r="J38" s="77"/>
      <c r="K38" s="77"/>
      <c r="N38" s="77"/>
      <c r="Q38" s="77"/>
      <c r="T38" s="77"/>
      <c r="W38" s="77"/>
      <c r="Z38" s="77"/>
      <c r="AC38" s="77"/>
      <c r="AF38" s="77"/>
    </row>
    <row r="39" spans="1:34" s="74" customFormat="1" ht="12.75" hidden="1" customHeight="1" x14ac:dyDescent="0.25">
      <c r="A39" s="74" t="s">
        <v>60</v>
      </c>
      <c r="B39" s="74">
        <f>IF(B31=1,B25,0)</f>
        <v>19</v>
      </c>
      <c r="D39" s="77">
        <f t="shared" ref="D39:E43" si="2">IF(D31=1,D25,0)</f>
        <v>0</v>
      </c>
      <c r="E39" s="74">
        <f t="shared" si="2"/>
        <v>28</v>
      </c>
      <c r="G39" s="77">
        <f t="shared" ref="G39:H43" si="3">IF(G31=1,G25,0)</f>
        <v>0</v>
      </c>
      <c r="H39" s="74">
        <f t="shared" si="3"/>
        <v>27</v>
      </c>
      <c r="J39" s="77">
        <f>IF(J31=1,J25,0)</f>
        <v>0</v>
      </c>
      <c r="K39" s="77"/>
      <c r="L39" s="74">
        <f>IF(L31=1,L25,0)</f>
        <v>23</v>
      </c>
      <c r="N39" s="77">
        <f t="shared" ref="N39:O43" si="4">IF(N31=1,N25,0)</f>
        <v>0</v>
      </c>
      <c r="O39" s="74">
        <f t="shared" si="4"/>
        <v>20</v>
      </c>
      <c r="Q39" s="77">
        <f t="shared" ref="Q39:R43" si="5">IF(Q31=1,Q25,0)</f>
        <v>0</v>
      </c>
      <c r="R39" s="74">
        <f t="shared" si="5"/>
        <v>0</v>
      </c>
      <c r="T39" s="77">
        <f t="shared" ref="T39:U43" si="6">IF(T31=1,T25,0)</f>
        <v>24</v>
      </c>
      <c r="U39" s="74">
        <f t="shared" si="6"/>
        <v>0</v>
      </c>
      <c r="W39" s="77">
        <f t="shared" ref="W39:X43" si="7">IF(W31=1,W25,0)</f>
        <v>0</v>
      </c>
      <c r="X39" s="74">
        <f t="shared" si="7"/>
        <v>0</v>
      </c>
      <c r="Z39" s="77">
        <f t="shared" ref="Z39:AA43" si="8">IF(Z31=1,Z25,0)</f>
        <v>0</v>
      </c>
      <c r="AA39" s="74">
        <f t="shared" si="8"/>
        <v>0</v>
      </c>
      <c r="AC39" s="77">
        <f t="shared" ref="AC39:AD43" si="9">IF(AC31=1,AC25,0)</f>
        <v>0</v>
      </c>
      <c r="AD39" s="74">
        <f t="shared" si="9"/>
        <v>0</v>
      </c>
      <c r="AF39" s="77">
        <f>IF(AF31=1,AF25,0)</f>
        <v>0</v>
      </c>
    </row>
    <row r="40" spans="1:34" s="74" customFormat="1" ht="12.75" hidden="1" customHeight="1" x14ac:dyDescent="0.25">
      <c r="A40" s="74" t="s">
        <v>61</v>
      </c>
      <c r="B40" s="74">
        <f>IF(B32=1,B26,0)</f>
        <v>0</v>
      </c>
      <c r="D40" s="77">
        <f t="shared" si="2"/>
        <v>0</v>
      </c>
      <c r="E40" s="74">
        <f t="shared" si="2"/>
        <v>0</v>
      </c>
      <c r="G40" s="77">
        <f t="shared" si="3"/>
        <v>0</v>
      </c>
      <c r="H40" s="74">
        <f t="shared" si="3"/>
        <v>0</v>
      </c>
      <c r="J40" s="77">
        <f>IF(J32=1,J26,0)</f>
        <v>0</v>
      </c>
      <c r="K40" s="77"/>
      <c r="L40" s="74">
        <f>IF(L32=1,L26,0)</f>
        <v>0</v>
      </c>
      <c r="N40" s="77">
        <f t="shared" si="4"/>
        <v>0</v>
      </c>
      <c r="O40" s="74">
        <f t="shared" si="4"/>
        <v>0</v>
      </c>
      <c r="Q40" s="77">
        <f t="shared" si="5"/>
        <v>0</v>
      </c>
      <c r="R40" s="74">
        <f t="shared" si="5"/>
        <v>0</v>
      </c>
      <c r="T40" s="77">
        <f t="shared" si="6"/>
        <v>0</v>
      </c>
      <c r="U40" s="74">
        <f t="shared" si="6"/>
        <v>0</v>
      </c>
      <c r="W40" s="77">
        <f t="shared" si="7"/>
        <v>0</v>
      </c>
      <c r="X40" s="74">
        <f t="shared" si="7"/>
        <v>0</v>
      </c>
      <c r="Z40" s="77">
        <f t="shared" si="8"/>
        <v>0</v>
      </c>
      <c r="AA40" s="74">
        <f t="shared" si="8"/>
        <v>0</v>
      </c>
      <c r="AC40" s="77">
        <f t="shared" si="9"/>
        <v>0</v>
      </c>
      <c r="AD40" s="74">
        <f t="shared" si="9"/>
        <v>0</v>
      </c>
      <c r="AF40" s="77">
        <f>IF(AF32=1,AF26,0)</f>
        <v>0</v>
      </c>
    </row>
    <row r="41" spans="1:34" s="74" customFormat="1" ht="12.75" hidden="1" customHeight="1" x14ac:dyDescent="0.25">
      <c r="A41" s="74" t="s">
        <v>62</v>
      </c>
      <c r="B41" s="74">
        <f>IF(B33=1,B27,0)</f>
        <v>0</v>
      </c>
      <c r="D41" s="77">
        <f t="shared" si="2"/>
        <v>0</v>
      </c>
      <c r="E41" s="74">
        <f t="shared" si="2"/>
        <v>0</v>
      </c>
      <c r="G41" s="77">
        <f t="shared" si="3"/>
        <v>0</v>
      </c>
      <c r="H41" s="74">
        <f t="shared" si="3"/>
        <v>0</v>
      </c>
      <c r="J41" s="77">
        <f>IF(J33=1,J27,0)</f>
        <v>0</v>
      </c>
      <c r="K41" s="77"/>
      <c r="L41" s="74">
        <f>IF(L33=1,L27,0)</f>
        <v>0</v>
      </c>
      <c r="N41" s="77">
        <f t="shared" si="4"/>
        <v>0</v>
      </c>
      <c r="O41" s="74">
        <f t="shared" si="4"/>
        <v>0</v>
      </c>
      <c r="Q41" s="77">
        <f t="shared" si="5"/>
        <v>0</v>
      </c>
      <c r="R41" s="74">
        <f t="shared" si="5"/>
        <v>0</v>
      </c>
      <c r="T41" s="77">
        <f t="shared" si="6"/>
        <v>0</v>
      </c>
      <c r="U41" s="74">
        <f t="shared" si="6"/>
        <v>0</v>
      </c>
      <c r="W41" s="77">
        <f t="shared" si="7"/>
        <v>0</v>
      </c>
      <c r="X41" s="74">
        <f t="shared" si="7"/>
        <v>0</v>
      </c>
      <c r="Z41" s="77">
        <f t="shared" si="8"/>
        <v>0</v>
      </c>
      <c r="AA41" s="74">
        <f t="shared" si="8"/>
        <v>0</v>
      </c>
      <c r="AC41" s="77">
        <f t="shared" si="9"/>
        <v>0</v>
      </c>
      <c r="AD41" s="74">
        <f t="shared" si="9"/>
        <v>0</v>
      </c>
      <c r="AF41" s="77">
        <f>IF(AF33=1,AF27,0)</f>
        <v>0</v>
      </c>
    </row>
    <row r="42" spans="1:34" s="74" customFormat="1" ht="12.75" hidden="1" customHeight="1" x14ac:dyDescent="0.25">
      <c r="A42" s="74" t="s">
        <v>63</v>
      </c>
      <c r="B42" s="74">
        <f>IF(B34=1,B28,0)</f>
        <v>0</v>
      </c>
      <c r="D42" s="77">
        <f t="shared" si="2"/>
        <v>0</v>
      </c>
      <c r="E42" s="74">
        <f t="shared" si="2"/>
        <v>0</v>
      </c>
      <c r="G42" s="77">
        <f t="shared" si="3"/>
        <v>0</v>
      </c>
      <c r="H42" s="74">
        <f t="shared" si="3"/>
        <v>0</v>
      </c>
      <c r="J42" s="77">
        <f>IF(J34=1,J28,0)</f>
        <v>0</v>
      </c>
      <c r="K42" s="77"/>
      <c r="L42" s="74">
        <f>IF(L34=1,L28,0)</f>
        <v>0</v>
      </c>
      <c r="N42" s="77">
        <f t="shared" si="4"/>
        <v>0</v>
      </c>
      <c r="O42" s="74">
        <f t="shared" si="4"/>
        <v>0</v>
      </c>
      <c r="Q42" s="77">
        <f t="shared" si="5"/>
        <v>0</v>
      </c>
      <c r="R42" s="74">
        <f t="shared" si="5"/>
        <v>0</v>
      </c>
      <c r="T42" s="77">
        <f t="shared" si="6"/>
        <v>0</v>
      </c>
      <c r="U42" s="74">
        <f t="shared" si="6"/>
        <v>0</v>
      </c>
      <c r="W42" s="77">
        <f t="shared" si="7"/>
        <v>0</v>
      </c>
      <c r="X42" s="74">
        <f t="shared" si="7"/>
        <v>0</v>
      </c>
      <c r="Z42" s="77">
        <f t="shared" si="8"/>
        <v>0</v>
      </c>
      <c r="AA42" s="74">
        <f t="shared" si="8"/>
        <v>0</v>
      </c>
      <c r="AC42" s="77">
        <f t="shared" si="9"/>
        <v>0</v>
      </c>
      <c r="AD42" s="74">
        <f t="shared" si="9"/>
        <v>0</v>
      </c>
      <c r="AF42" s="77">
        <f>IF(AF34=1,AF28,0)</f>
        <v>0</v>
      </c>
    </row>
    <row r="43" spans="1:34" s="74" customFormat="1" ht="12.75" hidden="1" customHeight="1" x14ac:dyDescent="0.25">
      <c r="A43" s="74" t="s">
        <v>64</v>
      </c>
      <c r="B43" s="74">
        <f>IF(B35=1,B29,0)</f>
        <v>0</v>
      </c>
      <c r="D43" s="77">
        <f t="shared" si="2"/>
        <v>0</v>
      </c>
      <c r="E43" s="74">
        <f t="shared" si="2"/>
        <v>0</v>
      </c>
      <c r="G43" s="77">
        <f t="shared" si="3"/>
        <v>0</v>
      </c>
      <c r="H43" s="74">
        <f t="shared" si="3"/>
        <v>0</v>
      </c>
      <c r="J43" s="77">
        <f>IF(J35=1,J29,0)</f>
        <v>0</v>
      </c>
      <c r="K43" s="77"/>
      <c r="L43" s="74">
        <f>IF(L35=1,L29,0)</f>
        <v>0</v>
      </c>
      <c r="N43" s="77">
        <f t="shared" si="4"/>
        <v>0</v>
      </c>
      <c r="O43" s="74">
        <f t="shared" si="4"/>
        <v>0</v>
      </c>
      <c r="Q43" s="77">
        <f t="shared" si="5"/>
        <v>0</v>
      </c>
      <c r="R43" s="74">
        <f t="shared" si="5"/>
        <v>0</v>
      </c>
      <c r="T43" s="77">
        <f t="shared" si="6"/>
        <v>0</v>
      </c>
      <c r="U43" s="74">
        <f t="shared" si="6"/>
        <v>0</v>
      </c>
      <c r="W43" s="77">
        <f t="shared" si="7"/>
        <v>0</v>
      </c>
      <c r="X43" s="74">
        <f t="shared" si="7"/>
        <v>0</v>
      </c>
      <c r="Z43" s="77">
        <f t="shared" si="8"/>
        <v>0</v>
      </c>
      <c r="AA43" s="74">
        <f t="shared" si="8"/>
        <v>0</v>
      </c>
      <c r="AC43" s="77">
        <f t="shared" si="9"/>
        <v>0</v>
      </c>
      <c r="AD43" s="74">
        <f t="shared" si="9"/>
        <v>0</v>
      </c>
      <c r="AF43" s="77">
        <f>IF(AF35=1,AF29,0)</f>
        <v>0</v>
      </c>
    </row>
    <row r="44" spans="1:34" s="74" customFormat="1" ht="38.25" hidden="1" customHeight="1" x14ac:dyDescent="0.25">
      <c r="A44" s="78" t="s">
        <v>65</v>
      </c>
      <c r="B44" s="74">
        <f>SUM(B39:D43)</f>
        <v>19</v>
      </c>
      <c r="D44" s="77"/>
      <c r="E44" s="74">
        <f>SUM(E39:G43)</f>
        <v>28</v>
      </c>
      <c r="G44" s="77"/>
      <c r="H44" s="74">
        <f>SUM(H39:J43)</f>
        <v>27</v>
      </c>
      <c r="J44" s="77"/>
      <c r="K44" s="77"/>
      <c r="L44" s="74">
        <f>SUM(L39:N43)</f>
        <v>23</v>
      </c>
      <c r="N44" s="77"/>
      <c r="O44" s="74">
        <f>SUM(O39:Q43)</f>
        <v>20</v>
      </c>
      <c r="Q44" s="77"/>
      <c r="R44" s="74">
        <f>SUM(R39:T43)</f>
        <v>24</v>
      </c>
      <c r="T44" s="77"/>
      <c r="U44" s="74">
        <f>SUM(U39:W43)</f>
        <v>0</v>
      </c>
      <c r="W44" s="77"/>
      <c r="X44" s="74">
        <f>SUM(X39:Z43)</f>
        <v>0</v>
      </c>
      <c r="Z44" s="77"/>
      <c r="AA44" s="74">
        <f>SUM(AA39:AC43)</f>
        <v>0</v>
      </c>
      <c r="AC44" s="77"/>
      <c r="AD44" s="74">
        <f>SUM(AD39:AF43)</f>
        <v>0</v>
      </c>
      <c r="AF44" s="77"/>
    </row>
    <row r="45" spans="1:34" s="74" customFormat="1" ht="38.25" hidden="1" customHeight="1" x14ac:dyDescent="0.25">
      <c r="A45" s="74" t="s">
        <v>66</v>
      </c>
      <c r="D45" s="77"/>
      <c r="G45" s="77"/>
      <c r="J45" s="77"/>
      <c r="K45" s="77"/>
      <c r="N45" s="77"/>
      <c r="Q45" s="77"/>
      <c r="T45" s="77"/>
      <c r="W45" s="77"/>
      <c r="Z45" s="77"/>
      <c r="AC45" s="77"/>
      <c r="AF45" s="77"/>
      <c r="AG45" s="78" t="s">
        <v>67</v>
      </c>
      <c r="AH45" s="74" t="s">
        <v>68</v>
      </c>
    </row>
    <row r="46" spans="1:34" s="74" customFormat="1" ht="12.75" hidden="1" customHeight="1" x14ac:dyDescent="0.25">
      <c r="A46" s="74" t="s">
        <v>69</v>
      </c>
      <c r="B46" s="74">
        <f>IF(B24=1,IF(B37=1,1,0),0)</f>
        <v>0</v>
      </c>
      <c r="D46" s="77">
        <f>IF(D24=1,IF(D37=1,1,0),0)</f>
        <v>0</v>
      </c>
      <c r="E46" s="74">
        <f>IF(E24=1,IF(E37=1,1,0),0)</f>
        <v>1</v>
      </c>
      <c r="G46" s="77">
        <f>IF(G24=1,IF(G37=1,1,0),0)</f>
        <v>0</v>
      </c>
      <c r="H46" s="74">
        <f>IF(H24=1,IF(H37=1,1,0),0)</f>
        <v>0</v>
      </c>
      <c r="J46" s="77">
        <f>IF(J24=1,IF(J37=1,1,0),0)</f>
        <v>0</v>
      </c>
      <c r="K46" s="77"/>
      <c r="L46" s="74">
        <f>IF(L24=1,IF(L37=1,1,0),0)</f>
        <v>1</v>
      </c>
      <c r="N46" s="77">
        <f>IF(N24=1,IF(N37=1,1,0),0)</f>
        <v>0</v>
      </c>
      <c r="O46" s="74">
        <f>IF(O24=1,IF(O37=1,1,0),0)</f>
        <v>0</v>
      </c>
      <c r="Q46" s="77">
        <f>IF(Q24=1,IF(Q37=1,1,0),0)</f>
        <v>0</v>
      </c>
      <c r="R46" s="74">
        <f>IF(R24=1,IF(R37=1,1,0),0)</f>
        <v>0</v>
      </c>
      <c r="T46" s="77">
        <f>IF(T24=1,IF(T37=1,1,0),0)</f>
        <v>0</v>
      </c>
      <c r="U46" s="74">
        <f>IF(U24=1,IF(U37=1,1,0),0)</f>
        <v>0</v>
      </c>
      <c r="W46" s="77">
        <f>IF(W24=1,IF(W37=1,1,0),0)</f>
        <v>0</v>
      </c>
      <c r="X46" s="74">
        <f>IF(X24=1,IF(X37=1,1,0),0)</f>
        <v>0</v>
      </c>
      <c r="Z46" s="77">
        <f>IF(Z24=1,IF(Z37=1,1,0),0)</f>
        <v>0</v>
      </c>
      <c r="AA46" s="74">
        <f>IF(AA24=1,IF(AA37=1,1,0),0)</f>
        <v>0</v>
      </c>
      <c r="AC46" s="77">
        <f>IF(AC24=1,IF(AC37=1,1,0),0)</f>
        <v>0</v>
      </c>
      <c r="AD46" s="74">
        <f>IF(AD24=1,IF(AD37=1,1,0),0)</f>
        <v>0</v>
      </c>
      <c r="AF46" s="77">
        <f>IF(AF24=1,IF(AF37=1,1,0),0)</f>
        <v>0</v>
      </c>
      <c r="AG46" s="74">
        <f>SUM(B46:AF46)</f>
        <v>2</v>
      </c>
      <c r="AH46" s="74">
        <f>AG52-AG46</f>
        <v>1</v>
      </c>
    </row>
    <row r="47" spans="1:34" s="74" customFormat="1" ht="12.75" hidden="1" customHeight="1" x14ac:dyDescent="0.25">
      <c r="A47" s="74" t="s">
        <v>70</v>
      </c>
      <c r="B47" s="74">
        <f>IF(B24=2,IF(B37=1,1,0),0)</f>
        <v>1</v>
      </c>
      <c r="D47" s="77">
        <f>IF(D24=2,IF(D37=1,1,0),0)</f>
        <v>0</v>
      </c>
      <c r="E47" s="74">
        <f>IF(E24=2,IF(E37=1,1,0),0)</f>
        <v>0</v>
      </c>
      <c r="G47" s="77">
        <f>IF(G24=2,IF(G37=1,1,0),0)</f>
        <v>0</v>
      </c>
      <c r="H47" s="74">
        <f>IF(H24=2,IF(H37=1,1,0),0)</f>
        <v>1</v>
      </c>
      <c r="J47" s="77">
        <f>IF(J24=2,IF(J37=1,1,0),0)</f>
        <v>0</v>
      </c>
      <c r="K47" s="77"/>
      <c r="L47" s="74">
        <f>IF(L24=2,IF(L37=1,1,0),0)</f>
        <v>0</v>
      </c>
      <c r="N47" s="77">
        <f>IF(N24=2,IF(N37=1,1,0),0)</f>
        <v>0</v>
      </c>
      <c r="O47" s="74">
        <f>IF(O24=2,IF(O37=1,1,0),0)</f>
        <v>0</v>
      </c>
      <c r="Q47" s="77">
        <f>IF(Q24=2,IF(Q37=1,1,0),0)</f>
        <v>0</v>
      </c>
      <c r="R47" s="74">
        <f>IF(R24=2,IF(R37=1,1,0),0)</f>
        <v>0</v>
      </c>
      <c r="T47" s="77">
        <f>IF(T24=2,IF(T37=1,1,0),0)</f>
        <v>1</v>
      </c>
      <c r="U47" s="74">
        <f>IF(U24=2,IF(U37=1,1,0),0)</f>
        <v>0</v>
      </c>
      <c r="W47" s="77">
        <f>IF(W24=2,IF(W37=1,1,0),0)</f>
        <v>0</v>
      </c>
      <c r="X47" s="74">
        <f>IF(X24=2,IF(X37=1,1,0),0)</f>
        <v>0</v>
      </c>
      <c r="Z47" s="77">
        <f>IF(Z24=2,IF(Z37=1,1,0),0)</f>
        <v>0</v>
      </c>
      <c r="AA47" s="74">
        <f>IF(AA24=2,IF(AA37=1,1,0),0)</f>
        <v>0</v>
      </c>
      <c r="AC47" s="77">
        <f>IF(AC24=2,IF(AC37=1,1,0),0)</f>
        <v>0</v>
      </c>
      <c r="AD47" s="74">
        <f>IF(AD24=2,IF(AD37=1,1,0),0)</f>
        <v>0</v>
      </c>
      <c r="AF47" s="77">
        <f>IF(AF24=2,IF(AF37=1,1,0),0)</f>
        <v>0</v>
      </c>
      <c r="AG47" s="74">
        <f>SUM(B47:AF47)</f>
        <v>3</v>
      </c>
      <c r="AH47" s="74">
        <f>AG53-AG47</f>
        <v>0</v>
      </c>
    </row>
    <row r="48" spans="1:34" s="74" customFormat="1" ht="12.75" hidden="1" customHeight="1" x14ac:dyDescent="0.25">
      <c r="A48" s="74" t="s">
        <v>71</v>
      </c>
      <c r="B48" s="74">
        <f>IF(B24=3,IF(B37=1,1,0),0)</f>
        <v>0</v>
      </c>
      <c r="D48" s="77">
        <f>IF(D24=3,IF(D37=1,1,0),0)</f>
        <v>0</v>
      </c>
      <c r="E48" s="74">
        <f>IF(E24=3,IF(E37=1,1,0),0)</f>
        <v>0</v>
      </c>
      <c r="G48" s="77">
        <f>IF(G24=3,IF(G37=1,1,0),0)</f>
        <v>0</v>
      </c>
      <c r="H48" s="74">
        <f>IF(H24=3,IF(H37=1,1,0),0)</f>
        <v>0</v>
      </c>
      <c r="J48" s="77">
        <f>IF(J24=3,IF(J37=1,1,0),0)</f>
        <v>0</v>
      </c>
      <c r="K48" s="77"/>
      <c r="L48" s="74">
        <f>IF(L24=3,IF(L37=1,1,0),0)</f>
        <v>0</v>
      </c>
      <c r="N48" s="77">
        <f>IF(N24=3,IF(N37=1,1,0),0)</f>
        <v>0</v>
      </c>
      <c r="O48" s="74">
        <f>IF(O24=3,IF(O37=1,1,0),0)</f>
        <v>1</v>
      </c>
      <c r="Q48" s="77">
        <f>IF(Q24=3,IF(Q37=1,1,0),0)</f>
        <v>0</v>
      </c>
      <c r="R48" s="74">
        <f>IF(R24=3,IF(R37=1,1,0),0)</f>
        <v>0</v>
      </c>
      <c r="T48" s="77">
        <f>IF(T24=3,IF(T37=1,1,0),0)</f>
        <v>0</v>
      </c>
      <c r="U48" s="74">
        <f>IF(U24=3,IF(U37=1,1,0),0)</f>
        <v>0</v>
      </c>
      <c r="W48" s="77">
        <f>IF(W24=3,IF(W37=1,1,0),0)</f>
        <v>0</v>
      </c>
      <c r="X48" s="74">
        <f>IF(X24=3,IF(X37=1,1,0),0)</f>
        <v>0</v>
      </c>
      <c r="Z48" s="77">
        <f>IF(Z24=3,IF(Z37=1,1,0),0)</f>
        <v>0</v>
      </c>
      <c r="AA48" s="74">
        <f>IF(AA24=3,IF(AA37=1,1,0),0)</f>
        <v>0</v>
      </c>
      <c r="AC48" s="77">
        <f>IF(AC24=3,IF(AC37=1,1,0),0)</f>
        <v>0</v>
      </c>
      <c r="AD48" s="74">
        <f>IF(AD24=3,IF(AD37=1,1,0),0)</f>
        <v>0</v>
      </c>
      <c r="AF48" s="77">
        <f>IF(AF24=3,IF(AF37=1,1,0),0)</f>
        <v>0</v>
      </c>
      <c r="AG48" s="74">
        <f>SUM(B48:AF48)</f>
        <v>1</v>
      </c>
      <c r="AH48" s="74">
        <f>AG54-AG48</f>
        <v>2</v>
      </c>
    </row>
    <row r="49" spans="1:38" s="74" customFormat="1" ht="12.75" hidden="1" customHeight="1" x14ac:dyDescent="0.25">
      <c r="A49" s="74" t="s">
        <v>72</v>
      </c>
      <c r="B49" s="74">
        <f>IF(B24=4,IF(B37=1,1,0),0)</f>
        <v>0</v>
      </c>
      <c r="D49" s="77">
        <f>IF(D24=4,IF(D37=1,1,0),0)</f>
        <v>0</v>
      </c>
      <c r="E49" s="74">
        <f>IF(E24=4,IF(E37=1,1,0),0)</f>
        <v>0</v>
      </c>
      <c r="G49" s="77">
        <f>IF(G24=4,IF(G37=1,1,0),0)</f>
        <v>0</v>
      </c>
      <c r="H49" s="74">
        <f>IF(H24=4,IF(H37=1,1,0),0)</f>
        <v>0</v>
      </c>
      <c r="J49" s="77">
        <f>IF(J24=4,IF(J37=1,1,0),0)</f>
        <v>0</v>
      </c>
      <c r="K49" s="77"/>
      <c r="L49" s="74">
        <f>IF(L24=4,IF(L37=1,1,0),0)</f>
        <v>0</v>
      </c>
      <c r="N49" s="77">
        <f>IF(N24=4,IF(N37=1,1,0),0)</f>
        <v>0</v>
      </c>
      <c r="O49" s="74">
        <f>IF(O24=4,IF(O37=1,1,0),0)</f>
        <v>0</v>
      </c>
      <c r="Q49" s="77">
        <f>IF(Q24=4,IF(Q37=1,1,0),0)</f>
        <v>0</v>
      </c>
      <c r="R49" s="74">
        <f>IF(R24=4,IF(R37=1,1,0),0)</f>
        <v>0</v>
      </c>
      <c r="T49" s="77">
        <f>IF(T24=4,IF(T37=1,1,0),0)</f>
        <v>0</v>
      </c>
      <c r="U49" s="74">
        <f>IF(U24=4,IF(U37=1,1,0),0)</f>
        <v>0</v>
      </c>
      <c r="W49" s="77">
        <f>IF(W24=4,IF(W37=1,1,0),0)</f>
        <v>0</v>
      </c>
      <c r="X49" s="74">
        <f>IF(X24=4,IF(X37=1,1,0),0)</f>
        <v>0</v>
      </c>
      <c r="Z49" s="77">
        <f>IF(Z24=4,IF(Z37=1,1,0),0)</f>
        <v>0</v>
      </c>
      <c r="AA49" s="74">
        <f>IF(AA24=4,IF(AA37=1,1,0),0)</f>
        <v>0</v>
      </c>
      <c r="AC49" s="77">
        <f>IF(AC24=4,IF(AC37=1,1,0),0)</f>
        <v>0</v>
      </c>
      <c r="AD49" s="74">
        <f>IF(AD24=4,IF(AD37=1,1,0),0)</f>
        <v>0</v>
      </c>
      <c r="AF49" s="77">
        <f>IF(AF24=4,IF(AF37=1,1,0),0)</f>
        <v>0</v>
      </c>
      <c r="AG49" s="74">
        <f>SUM(B49:AF49)</f>
        <v>0</v>
      </c>
      <c r="AH49" s="74">
        <f>AG55-AG49</f>
        <v>3</v>
      </c>
    </row>
    <row r="50" spans="1:38" s="74" customFormat="1" ht="12.75" hidden="1" customHeight="1" x14ac:dyDescent="0.25">
      <c r="A50" s="74" t="s">
        <v>73</v>
      </c>
      <c r="B50" s="74">
        <f>IF(B24=5,IF(B37=1,1,0),0)</f>
        <v>0</v>
      </c>
      <c r="D50" s="77">
        <f>IF(D24=5,IF(D37=1,1,0),0)</f>
        <v>0</v>
      </c>
      <c r="E50" s="74">
        <f>IF(E24=5,IF(E37=1,1,0),0)</f>
        <v>0</v>
      </c>
      <c r="G50" s="77">
        <f>IF(G24=5,IF(G37=1,1,0),0)</f>
        <v>0</v>
      </c>
      <c r="H50" s="74">
        <f>IF(H24=5,IF(H37=1,1,0),0)</f>
        <v>0</v>
      </c>
      <c r="J50" s="77">
        <f>IF(J24=5,IF(J37=1,1,0),0)</f>
        <v>0</v>
      </c>
      <c r="K50" s="77"/>
      <c r="L50" s="74">
        <f>IF(L24=5,IF(L37=1,1,0),0)</f>
        <v>0</v>
      </c>
      <c r="N50" s="77">
        <f>IF(N24=5,IF(N37=1,1,0),0)</f>
        <v>0</v>
      </c>
      <c r="O50" s="74">
        <f>IF(O24=5,IF(O37=1,1,0),0)</f>
        <v>0</v>
      </c>
      <c r="Q50" s="77">
        <f>IF(Q24=5,IF(Q37=1,1,0),0)</f>
        <v>0</v>
      </c>
      <c r="R50" s="74">
        <f>IF(R24=5,IF(R37=1,1,0),0)</f>
        <v>0</v>
      </c>
      <c r="T50" s="77">
        <f>IF(T24=5,IF(T37=1,1,0),0)</f>
        <v>0</v>
      </c>
      <c r="U50" s="74">
        <f>IF(U24=5,IF(U37=1,1,0),0)</f>
        <v>0</v>
      </c>
      <c r="W50" s="77">
        <f>IF(W24=5,IF(W37=1,1,0),0)</f>
        <v>0</v>
      </c>
      <c r="X50" s="74">
        <f>IF(X24=5,IF(X37=1,1,0),0)</f>
        <v>0</v>
      </c>
      <c r="Z50" s="77">
        <f>IF(Z24=5,IF(Z37=1,1,0),0)</f>
        <v>0</v>
      </c>
      <c r="AA50" s="74">
        <f>IF(AA24=5,IF(AA37=1,1,0),0)</f>
        <v>0</v>
      </c>
      <c r="AC50" s="77">
        <f>IF(AC24=5,IF(AC37=1,1,0),0)</f>
        <v>0</v>
      </c>
      <c r="AD50" s="74">
        <f>IF(AD24=5,IF(AD37=1,1,0),0)</f>
        <v>0</v>
      </c>
      <c r="AF50" s="77">
        <f>IF(AF24=5,IF(AF37=1,1,0),0)</f>
        <v>0</v>
      </c>
      <c r="AG50" s="74">
        <f>SUM(B50:AF50)</f>
        <v>0</v>
      </c>
      <c r="AH50" s="74">
        <f>AG56-AG50</f>
        <v>0</v>
      </c>
    </row>
    <row r="51" spans="1:38" s="74" customFormat="1" ht="38.25" hidden="1" customHeight="1" x14ac:dyDescent="0.25">
      <c r="A51" s="78"/>
      <c r="D51" s="77"/>
      <c r="G51" s="77"/>
      <c r="J51" s="77"/>
      <c r="K51" s="77"/>
      <c r="N51" s="77"/>
      <c r="Q51" s="77"/>
      <c r="T51" s="77"/>
      <c r="W51" s="77"/>
      <c r="Z51" s="77"/>
      <c r="AC51" s="77"/>
      <c r="AF51" s="77"/>
      <c r="AG51" s="78" t="s">
        <v>74</v>
      </c>
    </row>
    <row r="52" spans="1:38" s="74" customFormat="1" ht="12.75" hidden="1" customHeight="1" x14ac:dyDescent="0.25">
      <c r="A52" s="74" t="s">
        <v>75</v>
      </c>
      <c r="B52" s="74">
        <f>IF(B24=1,IF(C37=1,1,0),0)</f>
        <v>0</v>
      </c>
      <c r="D52" s="77">
        <f>IF(D24=1,IF(C37=1,1,0),0)</f>
        <v>0</v>
      </c>
      <c r="E52" s="74">
        <f>IF(E24=1,IF(F37=1,1,0),0)</f>
        <v>1</v>
      </c>
      <c r="G52" s="77">
        <f>IF(G24=1,IF(F37=1,1,0),0)</f>
        <v>0</v>
      </c>
      <c r="H52" s="74">
        <f>IF(H24=1,IF(I37=1,1,0),0)</f>
        <v>0</v>
      </c>
      <c r="J52" s="77">
        <f>IF(J24=1,IF(I37=1,1,0),0)</f>
        <v>0</v>
      </c>
      <c r="K52" s="77"/>
      <c r="L52" s="74">
        <f>IF(L24=1,IF(M37=1,1,0),0)</f>
        <v>1</v>
      </c>
      <c r="N52" s="77">
        <f>IF(N24=1,IF(M37=1,1,0),0)</f>
        <v>0</v>
      </c>
      <c r="O52" s="74">
        <f>IF(O24=1,IF(P37=1,1,0),0)</f>
        <v>0</v>
      </c>
      <c r="Q52" s="77">
        <f>IF(Q24=1,IF(P37=1,1,0),0)</f>
        <v>0</v>
      </c>
      <c r="R52" s="74">
        <f>IF(R24=1,IF(S37=1,1,0),0)</f>
        <v>1</v>
      </c>
      <c r="T52" s="77">
        <f>IF(T24=1,IF(S37=1,1,0),0)</f>
        <v>0</v>
      </c>
      <c r="U52" s="74">
        <f>IF(U24=1,IF(V37=1,1,0),0)</f>
        <v>0</v>
      </c>
      <c r="W52" s="77">
        <f>IF(W24=1,IF(V37=1,1,0),0)</f>
        <v>0</v>
      </c>
      <c r="X52" s="74">
        <f>IF(X24=1,IF(Y37=1,1,0),0)</f>
        <v>0</v>
      </c>
      <c r="Z52" s="77">
        <f>IF(Z24=1,IF(Y37=1,1,0),0)</f>
        <v>0</v>
      </c>
      <c r="AA52" s="74">
        <f>IF(AA24=1,IF(AB37=1,1,0),0)</f>
        <v>0</v>
      </c>
      <c r="AC52" s="77">
        <f>IF(AC24=1,IF(AB37=1,1,0),0)</f>
        <v>0</v>
      </c>
      <c r="AD52" s="74">
        <f>IF(AD24=1,IF(AE37=1,1,0),0)</f>
        <v>0</v>
      </c>
      <c r="AF52" s="77">
        <f>IF(AF24=1,IF(AE37=1,1,0),0)</f>
        <v>0</v>
      </c>
      <c r="AG52" s="74">
        <f>SUM(B52:AF52)</f>
        <v>3</v>
      </c>
    </row>
    <row r="53" spans="1:38" s="74" customFormat="1" ht="12.75" hidden="1" customHeight="1" x14ac:dyDescent="0.25">
      <c r="A53" s="74" t="s">
        <v>76</v>
      </c>
      <c r="B53" s="74">
        <f>IF(B24=2,IF(C37=1,1,0),0)</f>
        <v>1</v>
      </c>
      <c r="D53" s="77">
        <f>IF(D24=2,IF(C37=1,1,0),0)</f>
        <v>0</v>
      </c>
      <c r="E53" s="74">
        <f>IF(E24=2,IF(F37=1,1,0),0)</f>
        <v>0</v>
      </c>
      <c r="G53" s="77">
        <f>IF(G24=2,IF(F37=1,1,0),0)</f>
        <v>0</v>
      </c>
      <c r="H53" s="74">
        <f>IF(H24=2,IF(I37=1,1,0),0)</f>
        <v>1</v>
      </c>
      <c r="J53" s="77">
        <f>IF(J24=2,IF(I37=1,1,0),0)</f>
        <v>0</v>
      </c>
      <c r="K53" s="77"/>
      <c r="L53" s="74">
        <f>IF(L24=2,IF(M37=1,1,0),0)</f>
        <v>0</v>
      </c>
      <c r="N53" s="77">
        <f>IF(N24=2,IF(M37=1,1,0),0)</f>
        <v>0</v>
      </c>
      <c r="O53" s="74">
        <f>IF(O24=2,IF(P37=1,1,0),0)</f>
        <v>0</v>
      </c>
      <c r="Q53" s="77">
        <f>IF(Q24=2,IF(P37=1,1,0),0)</f>
        <v>0</v>
      </c>
      <c r="R53" s="74">
        <f>IF(R24=2,IF(S37=1,1,0),0)</f>
        <v>0</v>
      </c>
      <c r="T53" s="77">
        <f>IF(T24=2,IF(S37=1,1,0),0)</f>
        <v>1</v>
      </c>
      <c r="U53" s="74">
        <f>IF(U24=2,IF(V37=1,1,0),0)</f>
        <v>0</v>
      </c>
      <c r="W53" s="77">
        <f>IF(W24=2,IF(V37=1,1,0),0)</f>
        <v>0</v>
      </c>
      <c r="X53" s="74">
        <f>IF(X24=2,IF(Y37=1,1,0),0)</f>
        <v>0</v>
      </c>
      <c r="Z53" s="77">
        <f>IF(Z24=2,IF(Y37=1,1,0),0)</f>
        <v>0</v>
      </c>
      <c r="AA53" s="74">
        <f>IF(AA24=2,IF(AB37=1,1,0),0)</f>
        <v>0</v>
      </c>
      <c r="AC53" s="77">
        <f>IF(AC24=2,IF(AB37=1,1,0),0)</f>
        <v>0</v>
      </c>
      <c r="AD53" s="74">
        <f>IF(AD24=2,IF(AE37=1,1,0),0)</f>
        <v>0</v>
      </c>
      <c r="AF53" s="77">
        <f>IF(AF24=2,IF(AE37=1,1,0),0)</f>
        <v>0</v>
      </c>
      <c r="AG53" s="74">
        <f>SUM(B53:AF53)</f>
        <v>3</v>
      </c>
    </row>
    <row r="54" spans="1:38" s="74" customFormat="1" ht="12.75" hidden="1" customHeight="1" x14ac:dyDescent="0.25">
      <c r="A54" s="74" t="s">
        <v>77</v>
      </c>
      <c r="B54" s="74">
        <f>IF(B24=3,IF(C37=1,1,0),0)</f>
        <v>0</v>
      </c>
      <c r="D54" s="77">
        <f>IF(D24=3,IF(C37=1,1,0),0)</f>
        <v>1</v>
      </c>
      <c r="E54" s="74">
        <f>IF(E24=3,IF(F37=1,1,0),0)</f>
        <v>0</v>
      </c>
      <c r="G54" s="77">
        <f>IF(G24=3,IF(F37=1,1,0),0)</f>
        <v>0</v>
      </c>
      <c r="H54" s="74">
        <f>IF(H24=3,IF(I37=1,1,0),0)</f>
        <v>0</v>
      </c>
      <c r="J54" s="77">
        <f>IF(J24=3,IF(I37=1,1,0),0)</f>
        <v>0</v>
      </c>
      <c r="K54" s="77"/>
      <c r="L54" s="74">
        <f>IF(L24=3,IF(M37=1,1,0),0)</f>
        <v>0</v>
      </c>
      <c r="N54" s="77">
        <f>IF(N24=3,IF(M37=1,1,0),0)</f>
        <v>1</v>
      </c>
      <c r="O54" s="74">
        <f>IF(O24=3,IF(P37=1,1,0),0)</f>
        <v>1</v>
      </c>
      <c r="Q54" s="77">
        <f>IF(Q24=3,IF(P37=1,1,0),0)</f>
        <v>0</v>
      </c>
      <c r="R54" s="74">
        <f>IF(R24=3,IF(S37=1,1,0),0)</f>
        <v>0</v>
      </c>
      <c r="T54" s="77">
        <f>IF(T24=3,IF(S37=1,1,0),0)</f>
        <v>0</v>
      </c>
      <c r="U54" s="74">
        <f>IF(U24=3,IF(V37=1,1,0),0)</f>
        <v>0</v>
      </c>
      <c r="W54" s="77">
        <f>IF(W24=3,IF(V37=1,1,0),0)</f>
        <v>0</v>
      </c>
      <c r="X54" s="74">
        <f>IF(X24=3,IF(Y37=1,1,0),0)</f>
        <v>0</v>
      </c>
      <c r="Z54" s="77">
        <f>IF(Z24=3,IF(Y37=1,1,0),0)</f>
        <v>0</v>
      </c>
      <c r="AA54" s="74">
        <f>IF(AA24=3,IF(AB37=1,1,0),0)</f>
        <v>0</v>
      </c>
      <c r="AC54" s="77">
        <f>IF(AC24=3,IF(AB37=1,1,0),0)</f>
        <v>0</v>
      </c>
      <c r="AD54" s="74">
        <f>IF(AD24=3,IF(AE37=1,1,0),0)</f>
        <v>0</v>
      </c>
      <c r="AF54" s="77">
        <f>IF(AF24=3,IF(AE37=1,1,0),0)</f>
        <v>0</v>
      </c>
      <c r="AG54" s="74">
        <f>SUM(B54:AF54)</f>
        <v>3</v>
      </c>
    </row>
    <row r="55" spans="1:38" s="74" customFormat="1" ht="12.75" hidden="1" customHeight="1" x14ac:dyDescent="0.25">
      <c r="A55" s="74" t="s">
        <v>78</v>
      </c>
      <c r="B55" s="74">
        <f>IF(B24=4,IF(C37=1,1,0),0)</f>
        <v>0</v>
      </c>
      <c r="D55" s="77">
        <f>IF(D24=4,IF(C37=1,1,0),0)</f>
        <v>0</v>
      </c>
      <c r="E55" s="74">
        <f>IF(E24=4,IF(F37=1,1,0),0)</f>
        <v>0</v>
      </c>
      <c r="G55" s="77">
        <f>IF(G24=4,IF(F37=1,1,0),0)</f>
        <v>1</v>
      </c>
      <c r="H55" s="74">
        <f>IF(H24=4,IF(I37=1,1,0),0)</f>
        <v>0</v>
      </c>
      <c r="J55" s="77">
        <f>IF(J24=4,IF(I37=1,1,0),0)</f>
        <v>1</v>
      </c>
      <c r="K55" s="77"/>
      <c r="L55" s="74">
        <f>IF(L24=4,IF(M37=1,1,0),0)</f>
        <v>0</v>
      </c>
      <c r="N55" s="77">
        <f>IF(N24=4,IF(M37=1,1,0),0)</f>
        <v>0</v>
      </c>
      <c r="O55" s="74">
        <f>IF(O24=4,IF(P37=1,1,0),0)</f>
        <v>0</v>
      </c>
      <c r="Q55" s="77">
        <f>IF(Q24=4,IF(P37=1,1,0),0)</f>
        <v>1</v>
      </c>
      <c r="R55" s="74">
        <f>IF(R24=4,IF(S37=1,1,0),0)</f>
        <v>0</v>
      </c>
      <c r="T55" s="77">
        <f>IF(T24=4,IF(S37=1,1,0),0)</f>
        <v>0</v>
      </c>
      <c r="U55" s="74">
        <f>IF(U24=4,IF(V37=1,1,0),0)</f>
        <v>0</v>
      </c>
      <c r="W55" s="77">
        <f>IF(W24=4,IF(V37=1,1,0),0)</f>
        <v>0</v>
      </c>
      <c r="X55" s="74">
        <f>IF(X24=4,IF(Y37=1,1,0),0)</f>
        <v>0</v>
      </c>
      <c r="Z55" s="77">
        <f>IF(Z24=4,IF(Y37=1,1,0),0)</f>
        <v>0</v>
      </c>
      <c r="AA55" s="74">
        <f>IF(AA24=4,IF(AB37=1,1,0),0)</f>
        <v>0</v>
      </c>
      <c r="AC55" s="77">
        <f>IF(AC24=4,IF(AB37=1,1,0),0)</f>
        <v>0</v>
      </c>
      <c r="AD55" s="74">
        <f>IF(AD24=4,IF(AE37=1,1,0),0)</f>
        <v>0</v>
      </c>
      <c r="AF55" s="77">
        <f>IF(AF24=4,IF(AE37=1,1,0),0)</f>
        <v>0</v>
      </c>
      <c r="AG55" s="74">
        <f>SUM(B55:AF55)</f>
        <v>3</v>
      </c>
    </row>
    <row r="56" spans="1:38" s="74" customFormat="1" ht="12.75" hidden="1" customHeight="1" x14ac:dyDescent="0.25">
      <c r="A56" s="74" t="s">
        <v>79</v>
      </c>
      <c r="B56" s="74">
        <f>IF(B24=5,IF(C37=1,1,0),0)</f>
        <v>0</v>
      </c>
      <c r="D56" s="77">
        <f>IF(D24=5,IF(C37=1,1,0),0)</f>
        <v>0</v>
      </c>
      <c r="E56" s="74">
        <f>IF(E24=5,IF(F37=1,1,0),0)</f>
        <v>0</v>
      </c>
      <c r="G56" s="77">
        <f>IF(G24=5,IF(F37=1,1,0),0)</f>
        <v>0</v>
      </c>
      <c r="H56" s="74">
        <f>IF(H24=5,IF(I37=1,1,0),0)</f>
        <v>0</v>
      </c>
      <c r="J56" s="77">
        <f>IF(J24=5,IF(I37=1,1,0),0)</f>
        <v>0</v>
      </c>
      <c r="K56" s="77"/>
      <c r="L56" s="74">
        <f>IF(L24=5,IF(M37=1,1,0),0)</f>
        <v>0</v>
      </c>
      <c r="N56" s="77">
        <f>IF(N24=5,IF(M37=1,1,0),0)</f>
        <v>0</v>
      </c>
      <c r="O56" s="74">
        <f>IF(O24=5,IF(P37=1,1,0),0)</f>
        <v>0</v>
      </c>
      <c r="Q56" s="77">
        <f>IF(Q24=5,IF(P37=1,1,0),0)</f>
        <v>0</v>
      </c>
      <c r="R56" s="74">
        <f>IF(R24=5,IF(S37=1,1,0),0)</f>
        <v>0</v>
      </c>
      <c r="T56" s="77">
        <f>IF(T24=5,IF(S37=1,1,0),0)</f>
        <v>0</v>
      </c>
      <c r="U56" s="74">
        <f>IF(U24=5,IF(V37=1,1,0),0)</f>
        <v>0</v>
      </c>
      <c r="W56" s="77">
        <f>IF(W24=5,IF(V37=1,1,0),0)</f>
        <v>0</v>
      </c>
      <c r="X56" s="74">
        <f>IF(X24=5,IF(Y37=1,1,0),0)</f>
        <v>0</v>
      </c>
      <c r="Z56" s="77">
        <f>IF(Z24=5,IF(Y37=1,1,0),0)</f>
        <v>0</v>
      </c>
      <c r="AA56" s="74">
        <f>IF(AA24=5,IF(AB37=1,1,0),0)</f>
        <v>0</v>
      </c>
      <c r="AC56" s="77">
        <f>IF(AC24=5,IF(AB37=1,1,0),0)</f>
        <v>0</v>
      </c>
      <c r="AD56" s="74">
        <f>IF(AD24=5,IF(AE37=1,1,0),0)</f>
        <v>0</v>
      </c>
      <c r="AF56" s="77">
        <f>IF(AF24=5,IF(AE37=1,1,0),0)</f>
        <v>0</v>
      </c>
      <c r="AG56" s="74">
        <f>SUM(B56:AF56)</f>
        <v>0</v>
      </c>
    </row>
    <row r="57" spans="1:38" s="74" customFormat="1" ht="38.25" hidden="1" customHeight="1" x14ac:dyDescent="0.25">
      <c r="A57" s="78"/>
      <c r="D57" s="77"/>
      <c r="G57" s="77"/>
      <c r="J57" s="77"/>
      <c r="K57" s="77"/>
      <c r="N57" s="77"/>
      <c r="Q57" s="77"/>
      <c r="T57" s="77"/>
      <c r="W57" s="77"/>
      <c r="Z57" s="77"/>
      <c r="AC57" s="77"/>
      <c r="AF57" s="77"/>
      <c r="AG57" s="78" t="s">
        <v>80</v>
      </c>
      <c r="AH57" s="307"/>
      <c r="AI57" s="307"/>
      <c r="AJ57" s="307"/>
      <c r="AK57" s="307"/>
      <c r="AL57" s="307"/>
    </row>
    <row r="58" spans="1:38" s="74" customFormat="1" ht="12.75" hidden="1" customHeight="1" x14ac:dyDescent="0.25">
      <c r="A58" s="74" t="s">
        <v>75</v>
      </c>
      <c r="B58" s="74">
        <f>IF(B24=1,B44,0)</f>
        <v>0</v>
      </c>
      <c r="D58" s="77">
        <f>IF(D24=1,B44,0)</f>
        <v>0</v>
      </c>
      <c r="E58" s="74">
        <f>IF(E24=1,E44,0)</f>
        <v>28</v>
      </c>
      <c r="G58" s="77">
        <f>IF(G24=1,E44,0)</f>
        <v>0</v>
      </c>
      <c r="H58" s="74">
        <f>IF(H24=1,H44,0)</f>
        <v>0</v>
      </c>
      <c r="J58" s="77">
        <f>IF(J24=1,H44,0)</f>
        <v>0</v>
      </c>
      <c r="K58" s="77"/>
      <c r="L58" s="74">
        <f>IF(L24=1,L44,0)</f>
        <v>23</v>
      </c>
      <c r="N58" s="77">
        <f>IF(N24=1,L44,0)</f>
        <v>0</v>
      </c>
      <c r="O58" s="74">
        <f>IF(O24=1,O44,0)</f>
        <v>0</v>
      </c>
      <c r="Q58" s="77">
        <f>IF(Q24=1,O44,0)</f>
        <v>0</v>
      </c>
      <c r="R58" s="74">
        <f>IF(R24=1,R44,0)</f>
        <v>24</v>
      </c>
      <c r="T58" s="77">
        <f>IF(T24=1,R44,0)</f>
        <v>0</v>
      </c>
      <c r="U58" s="74">
        <f>IF(U24=1,U44,0)</f>
        <v>0</v>
      </c>
      <c r="W58" s="77">
        <f>IF(W24=1,U44,0)</f>
        <v>0</v>
      </c>
      <c r="X58" s="74">
        <f>IF(X24=1,X44,0)</f>
        <v>0</v>
      </c>
      <c r="Z58" s="77">
        <f>IF(Z24=1,X44,0)</f>
        <v>0</v>
      </c>
      <c r="AA58" s="74">
        <f>IF(AA24=1,AA44,0)</f>
        <v>0</v>
      </c>
      <c r="AC58" s="77">
        <f>IF(AC24=1,AA44,0)</f>
        <v>0</v>
      </c>
      <c r="AD58" s="74">
        <f>IF(AD24=1,AD44,0)</f>
        <v>0</v>
      </c>
      <c r="AF58" s="77">
        <f>IF(AF24=1,AD44,0)</f>
        <v>0</v>
      </c>
      <c r="AG58" s="74">
        <f>SUM(B58:AF58)</f>
        <v>75</v>
      </c>
    </row>
    <row r="59" spans="1:38" s="74" customFormat="1" ht="12.75" hidden="1" customHeight="1" x14ac:dyDescent="0.25">
      <c r="A59" s="74" t="s">
        <v>76</v>
      </c>
      <c r="B59" s="74">
        <f>IF(B24=2,B44,0)</f>
        <v>19</v>
      </c>
      <c r="D59" s="77">
        <f>IF(D24=2,B44,0)</f>
        <v>0</v>
      </c>
      <c r="E59" s="74">
        <f>IF(E24=2,E44,0)</f>
        <v>0</v>
      </c>
      <c r="G59" s="77">
        <f>IF(G24=2,E44,0)</f>
        <v>0</v>
      </c>
      <c r="H59" s="74">
        <f>IF(H24=2,H44,0)</f>
        <v>27</v>
      </c>
      <c r="J59" s="77">
        <f>IF(J24=2,H44,0)</f>
        <v>0</v>
      </c>
      <c r="K59" s="77"/>
      <c r="L59" s="74">
        <f>IF(L24=2,L44,0)</f>
        <v>0</v>
      </c>
      <c r="N59" s="77">
        <f>IF(N24=2,L44,0)</f>
        <v>0</v>
      </c>
      <c r="O59" s="74">
        <f>IF(O24=2,O44,0)</f>
        <v>0</v>
      </c>
      <c r="Q59" s="77">
        <f>IF(Q24=2,O44,0)</f>
        <v>0</v>
      </c>
      <c r="R59" s="74">
        <f>IF(R24=2,R44,0)</f>
        <v>0</v>
      </c>
      <c r="T59" s="77">
        <f>IF(T24=2,R44,0)</f>
        <v>24</v>
      </c>
      <c r="U59" s="74">
        <f>IF(U24=2,U44,0)</f>
        <v>0</v>
      </c>
      <c r="W59" s="77">
        <f>IF(W24=2,U44,0)</f>
        <v>0</v>
      </c>
      <c r="X59" s="74">
        <f>IF(X24=2,X44,0)</f>
        <v>0</v>
      </c>
      <c r="Z59" s="77">
        <f>IF(Z24=2,X44,0)</f>
        <v>0</v>
      </c>
      <c r="AA59" s="74">
        <f>IF(AA24=2,AA44,0)</f>
        <v>0</v>
      </c>
      <c r="AC59" s="77">
        <f>IF(AC24=2,AA44,0)</f>
        <v>0</v>
      </c>
      <c r="AD59" s="74">
        <f>IF(AD24=2,AD44,0)</f>
        <v>0</v>
      </c>
      <c r="AF59" s="77">
        <f>IF(AF24=2,AD44,0)</f>
        <v>0</v>
      </c>
      <c r="AG59" s="74">
        <f>SUM(B59:AF59)</f>
        <v>70</v>
      </c>
    </row>
    <row r="60" spans="1:38" s="74" customFormat="1" ht="12.75" hidden="1" customHeight="1" x14ac:dyDescent="0.25">
      <c r="A60" s="74" t="s">
        <v>77</v>
      </c>
      <c r="B60" s="74">
        <f>IF(B24=3,B44,0)</f>
        <v>0</v>
      </c>
      <c r="D60" s="77">
        <f>IF(D24=3,B44,0)</f>
        <v>19</v>
      </c>
      <c r="E60" s="74">
        <f>IF(E24=3,E44,0)</f>
        <v>0</v>
      </c>
      <c r="G60" s="77">
        <f>IF(G24=3,E44,0)</f>
        <v>0</v>
      </c>
      <c r="H60" s="74">
        <f>IF(H24=3,H44,0)</f>
        <v>0</v>
      </c>
      <c r="J60" s="77">
        <f>IF(J24=3,H44,0)</f>
        <v>0</v>
      </c>
      <c r="K60" s="77"/>
      <c r="L60" s="74">
        <f>IF(L24=3,L44,0)</f>
        <v>0</v>
      </c>
      <c r="N60" s="77">
        <f>IF(N24=3,L44,0)</f>
        <v>23</v>
      </c>
      <c r="O60" s="74">
        <f>IF(O24=3,O44,0)</f>
        <v>20</v>
      </c>
      <c r="Q60" s="77">
        <f>IF(Q24=3,O44,0)</f>
        <v>0</v>
      </c>
      <c r="R60" s="74">
        <f>IF(R24=3,R44,0)</f>
        <v>0</v>
      </c>
      <c r="T60" s="77">
        <f>IF(T24=3,R44,0)</f>
        <v>0</v>
      </c>
      <c r="U60" s="74">
        <f>IF(U24=3,U44,0)</f>
        <v>0</v>
      </c>
      <c r="W60" s="77">
        <f>IF(W24=3,U44,0)</f>
        <v>0</v>
      </c>
      <c r="X60" s="74">
        <f>IF(X24=3,X44,0)</f>
        <v>0</v>
      </c>
      <c r="Z60" s="77">
        <f>IF(Z24=3,X44,0)</f>
        <v>0</v>
      </c>
      <c r="AA60" s="74">
        <f>IF(AA24=3,AA44,0)</f>
        <v>0</v>
      </c>
      <c r="AC60" s="77">
        <f>IF(AC24=3,AA44,0)</f>
        <v>0</v>
      </c>
      <c r="AD60" s="74">
        <f>IF(AD24=3,AD44,0)</f>
        <v>0</v>
      </c>
      <c r="AF60" s="77">
        <f>IF(AF24=3,AD44,0)</f>
        <v>0</v>
      </c>
      <c r="AG60" s="74">
        <f>SUM(B60:AF60)</f>
        <v>62</v>
      </c>
    </row>
    <row r="61" spans="1:38" s="74" customFormat="1" ht="12.75" hidden="1" customHeight="1" x14ac:dyDescent="0.25">
      <c r="A61" s="74" t="s">
        <v>78</v>
      </c>
      <c r="B61" s="74">
        <f>IF(B24=4,B44,0)</f>
        <v>0</v>
      </c>
      <c r="D61" s="77">
        <f>IF(D24=4,B44,0)</f>
        <v>0</v>
      </c>
      <c r="E61" s="74">
        <f>IF(E24=4,E44,0)</f>
        <v>0</v>
      </c>
      <c r="G61" s="77">
        <f>IF(G24=4,E44,0)</f>
        <v>28</v>
      </c>
      <c r="H61" s="74">
        <f>IF(H24=4,H44,0)</f>
        <v>0</v>
      </c>
      <c r="J61" s="77">
        <f>IF(J24=4,H44,0)</f>
        <v>27</v>
      </c>
      <c r="K61" s="77"/>
      <c r="L61" s="74">
        <f>IF(L24=4,L44,0)</f>
        <v>0</v>
      </c>
      <c r="N61" s="77">
        <f>IF(N24=4,L44,0)</f>
        <v>0</v>
      </c>
      <c r="O61" s="74">
        <f>IF(O24=4,O44,0)</f>
        <v>0</v>
      </c>
      <c r="Q61" s="77">
        <f>IF(Q24=4,O44,0)</f>
        <v>20</v>
      </c>
      <c r="R61" s="74">
        <f>IF(R24=4,R44,0)</f>
        <v>0</v>
      </c>
      <c r="T61" s="77">
        <f>IF(T24=4,R44,0)</f>
        <v>0</v>
      </c>
      <c r="U61" s="74">
        <f>IF(U24=4,U44,0)</f>
        <v>0</v>
      </c>
      <c r="W61" s="77">
        <f>IF(W24=4,U44,0)</f>
        <v>0</v>
      </c>
      <c r="X61" s="74">
        <f>IF(X24=4,X44,0)</f>
        <v>0</v>
      </c>
      <c r="Z61" s="77">
        <f>IF(Z24=4,X44,0)</f>
        <v>0</v>
      </c>
      <c r="AA61" s="74">
        <f>IF(AA24=4,AA44,0)</f>
        <v>0</v>
      </c>
      <c r="AC61" s="77">
        <f>IF(AC24=4,AA44,0)</f>
        <v>0</v>
      </c>
      <c r="AD61" s="74">
        <f>IF(AD24=4,AD44,0)</f>
        <v>0</v>
      </c>
      <c r="AF61" s="77">
        <f>IF(AF24=4,AD44,0)</f>
        <v>0</v>
      </c>
      <c r="AG61" s="74">
        <f>SUM(B61:AF61)</f>
        <v>75</v>
      </c>
    </row>
    <row r="62" spans="1:38" s="74" customFormat="1" ht="12.75" hidden="1" customHeight="1" x14ac:dyDescent="0.25">
      <c r="A62" s="74" t="s">
        <v>79</v>
      </c>
      <c r="B62" s="74">
        <f>IF(B24=5,B44,0)</f>
        <v>0</v>
      </c>
      <c r="D62" s="77">
        <f>IF(D24=5,B44,0)</f>
        <v>0</v>
      </c>
      <c r="E62" s="74">
        <f>IF(E24=5,E44,0)</f>
        <v>0</v>
      </c>
      <c r="G62" s="77">
        <f>IF(G24=5,E44,0)</f>
        <v>0</v>
      </c>
      <c r="H62" s="74">
        <f>IF(H24=5,H44,0)</f>
        <v>0</v>
      </c>
      <c r="J62" s="77">
        <f>IF(J24=5,H44,0)</f>
        <v>0</v>
      </c>
      <c r="K62" s="77"/>
      <c r="L62" s="74">
        <f>IF(L24=5,L44,0)</f>
        <v>0</v>
      </c>
      <c r="N62" s="77">
        <f>IF(N24=5,L44,0)</f>
        <v>0</v>
      </c>
      <c r="O62" s="74">
        <f>IF(O24=5,O44,0)</f>
        <v>0</v>
      </c>
      <c r="Q62" s="77">
        <f>IF(Q24=5,O44,0)</f>
        <v>0</v>
      </c>
      <c r="R62" s="74">
        <f>IF(R24=5,R44,0)</f>
        <v>0</v>
      </c>
      <c r="T62" s="77">
        <f>IF(T24=5,R44,0)</f>
        <v>0</v>
      </c>
      <c r="U62" s="74">
        <f>IF(U24=5,U44,0)</f>
        <v>0</v>
      </c>
      <c r="W62" s="77">
        <f>IF(W24=5,U44,0)</f>
        <v>0</v>
      </c>
      <c r="X62" s="74">
        <f>IF(X24=5,X44,0)</f>
        <v>0</v>
      </c>
      <c r="Z62" s="77">
        <f>IF(Z24=5,X44,0)</f>
        <v>0</v>
      </c>
      <c r="AA62" s="74">
        <f>IF(AA24=5,AA44,0)</f>
        <v>0</v>
      </c>
      <c r="AC62" s="77">
        <f>IF(AC24=5,AA44,0)</f>
        <v>0</v>
      </c>
      <c r="AD62" s="74">
        <f>IF(AD24=5,AD44,0)</f>
        <v>0</v>
      </c>
      <c r="AF62" s="77">
        <f>IF(AF24=5,AD44,0)</f>
        <v>0</v>
      </c>
      <c r="AG62" s="74">
        <f>SUM(B62:AF62)</f>
        <v>0</v>
      </c>
    </row>
    <row r="63" spans="1:38" s="74" customFormat="1" ht="38.25" hidden="1" customHeight="1" x14ac:dyDescent="0.25">
      <c r="A63" s="74" t="s">
        <v>81</v>
      </c>
      <c r="D63" s="77"/>
      <c r="G63" s="77"/>
      <c r="J63" s="77"/>
      <c r="K63" s="77"/>
      <c r="N63" s="77"/>
      <c r="Q63" s="77"/>
      <c r="T63" s="77"/>
      <c r="W63" s="77"/>
      <c r="Z63" s="77"/>
      <c r="AC63" s="77"/>
      <c r="AF63" s="77"/>
      <c r="AG63" s="78" t="s">
        <v>82</v>
      </c>
      <c r="AH63" s="74" t="s">
        <v>83</v>
      </c>
    </row>
    <row r="64" spans="1:38" s="74" customFormat="1" ht="12.75" hidden="1" customHeight="1" x14ac:dyDescent="0.25">
      <c r="A64" s="74" t="s">
        <v>69</v>
      </c>
      <c r="B64" s="74">
        <f>IF(B24=1,SUMIF(B31:B35,"&gt;0"),0)</f>
        <v>0</v>
      </c>
      <c r="D64" s="77">
        <f>IF(D24=1,SUMIF(D31:D35,"&gt;0"),0)</f>
        <v>0</v>
      </c>
      <c r="E64" s="74">
        <f>IF(E24=1,SUMIF(E31:E35,"&gt;0"),0)</f>
        <v>1</v>
      </c>
      <c r="G64" s="77">
        <f>IF(G24=1,SUMIF(G31:G35,"&gt;0"),0)</f>
        <v>0</v>
      </c>
      <c r="H64" s="74">
        <f>IF(H24=1,SUMIF(H31:H35,"&gt;0"),0)</f>
        <v>0</v>
      </c>
      <c r="J64" s="77">
        <f>IF(J24=1,SUMIF(J31:J35,"&gt;0"),0)</f>
        <v>0</v>
      </c>
      <c r="K64" s="77"/>
      <c r="L64" s="74">
        <f>IF(L24=1,SUMIF(L31:L35,"&gt;0"),0)</f>
        <v>1</v>
      </c>
      <c r="N64" s="77">
        <f>IF(N24=1,SUMIF(N31:N35,"&gt;0"),0)</f>
        <v>0</v>
      </c>
      <c r="O64" s="74">
        <f>IF(O24=1,SUMIF(O31:O35,"&gt;0"),0)</f>
        <v>0</v>
      </c>
      <c r="Q64" s="77">
        <f>IF(Q24=1,SUMIF(Q31:Q35,"&gt;0"),0)</f>
        <v>0</v>
      </c>
      <c r="R64" s="74">
        <f>IF(R24=1,SUMIF(R31:R35,"&gt;0"),0)</f>
        <v>0</v>
      </c>
      <c r="T64" s="77">
        <f>IF(T24=1,SUMIF(T31:T35,"&gt;0"),0)</f>
        <v>0</v>
      </c>
      <c r="U64" s="74">
        <f>IF(U24=1,SUMIF(U31:U35,"&gt;0"),0)</f>
        <v>0</v>
      </c>
      <c r="W64" s="77">
        <f>IF(W24=1,SUMIF(W31:W35,"&gt;0"),0)</f>
        <v>0</v>
      </c>
      <c r="X64" s="74">
        <f>IF(X24=1,SUMIF(X31:X35,"&gt;0"),0)</f>
        <v>0</v>
      </c>
      <c r="Z64" s="77">
        <f>IF(Z24=1,SUMIF(Z31:Z35,"&gt;0"),0)</f>
        <v>0</v>
      </c>
      <c r="AA64" s="74">
        <f>IF(AA24=1,SUMIF(AA31:AA35,"&gt;0"),0)</f>
        <v>0</v>
      </c>
      <c r="AC64" s="77">
        <f>IF(AC24=1,SUMIF(AC31:AC35,"&gt;0"),0)</f>
        <v>0</v>
      </c>
      <c r="AD64" s="74">
        <f>IF(AD24=1,SUMIF(AD31:AD35,"&gt;0"),0)</f>
        <v>0</v>
      </c>
      <c r="AF64" s="77">
        <f>IF(AF24=1,SUMIF(AF31:AF35,"&gt;0"),0)</f>
        <v>0</v>
      </c>
      <c r="AG64" s="74">
        <f>SUM(B64:AF64)</f>
        <v>2</v>
      </c>
      <c r="AH64" s="74">
        <f>AG72-AG64</f>
        <v>1</v>
      </c>
    </row>
    <row r="65" spans="1:81" s="74" customFormat="1" ht="12.75" hidden="1" customHeight="1" x14ac:dyDescent="0.25">
      <c r="A65" s="74" t="s">
        <v>70</v>
      </c>
      <c r="B65" s="74">
        <f>IF(B24=2,SUMIF(B31:B35,"&gt;0"),0)</f>
        <v>1</v>
      </c>
      <c r="D65" s="77">
        <f>IF(D24=2,SUMIF(D31:D35,"&gt;0"),0)</f>
        <v>0</v>
      </c>
      <c r="E65" s="74">
        <f>IF(E24=2,SUMIF(E31:E35,"&gt;0"),0)</f>
        <v>0</v>
      </c>
      <c r="G65" s="77">
        <f>IF(G24=2,SUMIF(G31:G35,"&gt;0"),0)</f>
        <v>0</v>
      </c>
      <c r="H65" s="74">
        <f>IF(H24=2,SUMIF(H31:H35,"&gt;0"),0)</f>
        <v>1</v>
      </c>
      <c r="J65" s="77">
        <f>IF(J24=2,SUMIF(J31:J35,"&gt;0"),0)</f>
        <v>0</v>
      </c>
      <c r="K65" s="77"/>
      <c r="L65" s="74">
        <f>IF(L24=2,SUMIF(L31:L35,"&gt;0"),0)</f>
        <v>0</v>
      </c>
      <c r="N65" s="77">
        <f>IF(N24=2,SUMIF(N31:N35,"&gt;0"),0)</f>
        <v>0</v>
      </c>
      <c r="O65" s="74">
        <f>IF(O24=2,SUMIF(O31:O35,"&gt;0"),0)</f>
        <v>0</v>
      </c>
      <c r="Q65" s="77">
        <f>IF(Q24=2,SUMIF(Q31:Q35,"&gt;0"),0)</f>
        <v>0</v>
      </c>
      <c r="R65" s="74">
        <f>IF(R24=2,SUMIF(R31:R35,"&gt;0"),0)</f>
        <v>0</v>
      </c>
      <c r="T65" s="77">
        <f>IF(T24=2,SUMIF(T31:T35,"&gt;0"),0)</f>
        <v>1</v>
      </c>
      <c r="U65" s="74">
        <f>IF(U24=2,SUMIF(U31:U35,"&gt;0"),0)</f>
        <v>0</v>
      </c>
      <c r="W65" s="77">
        <f>IF(W24=2,SUMIF(W31:W35,"&gt;0"),0)</f>
        <v>0</v>
      </c>
      <c r="X65" s="74">
        <f>IF(X24=2,SUMIF(X31:X35,"&gt;0"),0)</f>
        <v>0</v>
      </c>
      <c r="Z65" s="77">
        <f>IF(Z24=2,SUMIF(Z31:Z35,"&gt;0"),0)</f>
        <v>0</v>
      </c>
      <c r="AA65" s="74">
        <f>IF(AA24=2,SUMIF(AA31:AA35,"&gt;0"),0)</f>
        <v>0</v>
      </c>
      <c r="AC65" s="77">
        <f>IF(AC24=2,SUMIF(AC31:AC35,"&gt;0"),0)</f>
        <v>0</v>
      </c>
      <c r="AD65" s="74">
        <f>IF(AD24=2,SUMIF(AD31:AD35,"&gt;0"),0)</f>
        <v>0</v>
      </c>
      <c r="AF65" s="77">
        <f>IF(AF24=2,SUMIF(AF31:AF35,"&gt;0"),0)</f>
        <v>0</v>
      </c>
      <c r="AG65" s="74">
        <f>SUM(B65:AF65)</f>
        <v>3</v>
      </c>
      <c r="AH65" s="74">
        <f>AG73-AG65</f>
        <v>0</v>
      </c>
    </row>
    <row r="66" spans="1:81" s="74" customFormat="1" ht="12.75" hidden="1" customHeight="1" x14ac:dyDescent="0.25">
      <c r="A66" s="74" t="s">
        <v>71</v>
      </c>
      <c r="B66" s="74">
        <f>IF(B24=3,SUMIF(B31:B35,"&gt;0"),0)</f>
        <v>0</v>
      </c>
      <c r="D66" s="77">
        <f>IF(D24=3,SUMIF(D31:D35,"&gt;0"),0)</f>
        <v>0</v>
      </c>
      <c r="E66" s="74">
        <f>IF(E24=3,SUMIF(E31:E35,"&gt;0"),0)</f>
        <v>0</v>
      </c>
      <c r="G66" s="77">
        <f>IF(G24=3,SUMIF(G31:G35,"&gt;0"),0)</f>
        <v>0</v>
      </c>
      <c r="H66" s="74">
        <f>IF(H24=3,SUMIF(H31:H35,"&gt;0"),0)</f>
        <v>0</v>
      </c>
      <c r="J66" s="77">
        <f>IF(J24=3,SUMIF(J31:J35,"&gt;0"),0)</f>
        <v>0</v>
      </c>
      <c r="K66" s="77"/>
      <c r="L66" s="74">
        <f>IF(L24=3,SUMIF(L31:L35,"&gt;0"),0)</f>
        <v>0</v>
      </c>
      <c r="N66" s="77">
        <f>IF(N24=3,SUMIF(N31:N35,"&gt;0"),0)</f>
        <v>0</v>
      </c>
      <c r="O66" s="74">
        <f>IF(O24=3,SUMIF(O31:O35,"&gt;0"),0)</f>
        <v>1</v>
      </c>
      <c r="Q66" s="77">
        <f>IF(Q24=3,SUMIF(Q31:Q35,"&gt;0"),0)</f>
        <v>0</v>
      </c>
      <c r="R66" s="74">
        <f>IF(R24=3,SUMIF(R31:R35,"&gt;0"),0)</f>
        <v>0</v>
      </c>
      <c r="T66" s="77">
        <f>IF(T24=3,SUMIF(T31:T35,"&gt;0"),0)</f>
        <v>0</v>
      </c>
      <c r="U66" s="74">
        <f>IF(U24=3,SUMIF(U31:U35,"&gt;0"),0)</f>
        <v>0</v>
      </c>
      <c r="W66" s="77">
        <f>IF(W24=3,SUMIF(W31:W35,"&gt;0"),0)</f>
        <v>0</v>
      </c>
      <c r="X66" s="74">
        <f>IF(X24=3,SUMIF(X31:X35,"&gt;0"),0)</f>
        <v>0</v>
      </c>
      <c r="Z66" s="77">
        <f>IF(Z24=3,SUMIF(Z31:Z35,"&gt;0"),0)</f>
        <v>0</v>
      </c>
      <c r="AA66" s="74">
        <f>IF(AA24=3,SUMIF(AA31:AA35,"&gt;0"),0)</f>
        <v>0</v>
      </c>
      <c r="AC66" s="77">
        <f>IF(AC24=3,SUMIF(AC31:AC35,"&gt;0"),0)</f>
        <v>0</v>
      </c>
      <c r="AD66" s="74">
        <f>IF(AD24=3,SUMIF(AD31:AD35,"&gt;0"),0)</f>
        <v>0</v>
      </c>
      <c r="AF66" s="77">
        <f>IF(AF24=3,SUMIF(AF31:AF35,"&gt;0"),0)</f>
        <v>0</v>
      </c>
      <c r="AG66" s="74">
        <f>SUM(B66:AF66)</f>
        <v>1</v>
      </c>
      <c r="AH66" s="74">
        <f>AG74-AG66</f>
        <v>2</v>
      </c>
    </row>
    <row r="67" spans="1:81" s="74" customFormat="1" ht="12.75" hidden="1" customHeight="1" x14ac:dyDescent="0.25">
      <c r="A67" s="74" t="s">
        <v>72</v>
      </c>
      <c r="B67" s="74">
        <f>IF(B24=4,SUMIF(B31:B35,"&gt;0"),0)</f>
        <v>0</v>
      </c>
      <c r="D67" s="77">
        <f>IF(D24=4,SUMIF(D31:D35,"&gt;0"),0)</f>
        <v>0</v>
      </c>
      <c r="E67" s="74">
        <f>IF(E24=4,SUMIF(E31:E35,"&gt;0"),0)</f>
        <v>0</v>
      </c>
      <c r="G67" s="77">
        <f>IF(G24=4,SUMIF(G31:G35,"&gt;0"),0)</f>
        <v>0</v>
      </c>
      <c r="H67" s="74">
        <f>IF(H24=4,SUMIF(H31:H35,"&gt;0"),0)</f>
        <v>0</v>
      </c>
      <c r="J67" s="77">
        <f>IF(J24=4,SUMIF(J31:J35,"&gt;0"),0)</f>
        <v>0</v>
      </c>
      <c r="K67" s="77"/>
      <c r="L67" s="74">
        <f>IF(L24=4,SUMIF(L31:L35,"&gt;0"),0)</f>
        <v>0</v>
      </c>
      <c r="N67" s="77">
        <f>IF(N24=4,SUMIF(N31:N35,"&gt;0"),0)</f>
        <v>0</v>
      </c>
      <c r="O67" s="74">
        <f>IF(O24=4,SUMIF(O31:O35,"&gt;0"),0)</f>
        <v>0</v>
      </c>
      <c r="Q67" s="77">
        <f>IF(Q24=4,SUMIF(Q31:Q35,"&gt;0"),0)</f>
        <v>0</v>
      </c>
      <c r="R67" s="74">
        <f>IF(R24=4,SUMIF(R31:R35,"&gt;0"),0)</f>
        <v>0</v>
      </c>
      <c r="T67" s="77">
        <f>IF(T24=4,SUMIF(T31:T35,"&gt;0"),0)</f>
        <v>0</v>
      </c>
      <c r="U67" s="74">
        <f>IF(U24=4,SUMIF(U31:U35,"&gt;0"),0)</f>
        <v>0</v>
      </c>
      <c r="W67" s="77">
        <f>IF(W24=4,SUMIF(W31:W35,"&gt;0"),0)</f>
        <v>0</v>
      </c>
      <c r="X67" s="74">
        <f>IF(X24=4,SUMIF(X31:X35,"&gt;0"),0)</f>
        <v>0</v>
      </c>
      <c r="Z67" s="77">
        <f>IF(Z24=4,SUMIF(Z31:Z35,"&gt;0"),0)</f>
        <v>0</v>
      </c>
      <c r="AA67" s="74">
        <f>IF(AA24=4,SUMIF(AA31:AA35,"&gt;0"),0)</f>
        <v>0</v>
      </c>
      <c r="AC67" s="77">
        <f>IF(AC24=4,SUMIF(AC31:AC35,"&gt;0"),0)</f>
        <v>0</v>
      </c>
      <c r="AD67" s="74">
        <f>IF(AD24=4,SUMIF(AD31:AD35,"&gt;0"),0)</f>
        <v>0</v>
      </c>
      <c r="AF67" s="77">
        <f>IF(AF24=4,SUMIF(AF31:AF35,"&gt;0"),0)</f>
        <v>0</v>
      </c>
      <c r="AG67" s="74">
        <f>SUM(B67:AF67)</f>
        <v>0</v>
      </c>
      <c r="AH67" s="74">
        <f>AG75-AG67</f>
        <v>3</v>
      </c>
    </row>
    <row r="68" spans="1:81" s="74" customFormat="1" ht="12.75" hidden="1" customHeight="1" x14ac:dyDescent="0.25">
      <c r="A68" s="74" t="s">
        <v>73</v>
      </c>
      <c r="B68" s="74">
        <f>IF(B24=5,SUMIF(B31:B35,"&gt;0"),0)</f>
        <v>0</v>
      </c>
      <c r="D68" s="77">
        <f>IF(D24=5,SUMIF(D31:D35,"&gt;0"),0)</f>
        <v>0</v>
      </c>
      <c r="E68" s="74">
        <f>IF(E24=5,SUMIF(E31:E35,"&gt;0"),0)</f>
        <v>0</v>
      </c>
      <c r="G68" s="77">
        <f>IF(G24=5,SUMIF(G31:G35,"&gt;0"),0)</f>
        <v>0</v>
      </c>
      <c r="H68" s="74">
        <f>IF(H24=5,SUMIF(H31:H35,"&gt;0"),0)</f>
        <v>0</v>
      </c>
      <c r="J68" s="77">
        <f>IF(J24=5,SUMIF(J31:J35,"&gt;0"),0)</f>
        <v>0</v>
      </c>
      <c r="K68" s="77"/>
      <c r="L68" s="74">
        <f>IF(L24=5,SUMIF(L31:L35,"&gt;0"),0)</f>
        <v>0</v>
      </c>
      <c r="N68" s="77">
        <f>IF(N24=5,SUMIF(N31:N35,"&gt;0"),0)</f>
        <v>0</v>
      </c>
      <c r="O68" s="74">
        <f>IF(O24=5,SUMIF(O31:O35,"&gt;0"),0)</f>
        <v>0</v>
      </c>
      <c r="Q68" s="77">
        <f>IF(Q24=5,SUMIF(Q31:Q35,"&gt;0"),0)</f>
        <v>0</v>
      </c>
      <c r="R68" s="74">
        <f>IF(R24=5,SUMIF(R31:R35,"&gt;0"),0)</f>
        <v>0</v>
      </c>
      <c r="T68" s="77">
        <f>IF(T24=5,SUMIF(T31:T35,"&gt;0"),0)</f>
        <v>0</v>
      </c>
      <c r="U68" s="74">
        <f>IF(U24=5,SUMIF(U31:U35,"&gt;0"),0)</f>
        <v>0</v>
      </c>
      <c r="W68" s="77">
        <f>IF(W24=5,SUMIF(W31:W35,"&gt;0"),0)</f>
        <v>0</v>
      </c>
      <c r="X68" s="74">
        <f>IF(X24=5,SUMIF(X31:X35,"&gt;0"),0)</f>
        <v>0</v>
      </c>
      <c r="Z68" s="77">
        <f>IF(Z24=5,SUMIF(Z31:Z35,"&gt;0"),0)</f>
        <v>0</v>
      </c>
      <c r="AA68" s="74">
        <f>IF(AA24=5,SUMIF(AA31:AA35,"&gt;0"),0)</f>
        <v>0</v>
      </c>
      <c r="AC68" s="77">
        <f>IF(AC24=5,SUMIF(AC31:AC35,"&gt;0"),0)</f>
        <v>0</v>
      </c>
      <c r="AD68" s="74">
        <f>IF(AD24=5,SUMIF(AD31:AD35,"&gt;0"),0)</f>
        <v>0</v>
      </c>
      <c r="AF68" s="77">
        <f>IF(AF24=5,SUMIF(AF31:AF35,"&gt;0"),0)</f>
        <v>0</v>
      </c>
      <c r="AG68" s="74">
        <f>SUM(B68:AF68)</f>
        <v>0</v>
      </c>
      <c r="AH68" s="74">
        <f>AG76-AG68</f>
        <v>0</v>
      </c>
    </row>
    <row r="69" spans="1:81" s="74" customFormat="1" ht="12.75" hidden="1" customHeight="1" x14ac:dyDescent="0.25">
      <c r="D69" s="77"/>
      <c r="G69" s="77"/>
      <c r="J69" s="77"/>
      <c r="K69" s="77"/>
      <c r="N69" s="77"/>
      <c r="Q69" s="77"/>
      <c r="T69" s="77"/>
      <c r="W69" s="77"/>
      <c r="Z69" s="77"/>
      <c r="AC69" s="77"/>
      <c r="AF69" s="77"/>
    </row>
    <row r="70" spans="1:81" s="74" customFormat="1" ht="12.75" hidden="1" customHeight="1" x14ac:dyDescent="0.25">
      <c r="D70" s="77"/>
      <c r="G70" s="77"/>
      <c r="J70" s="77"/>
      <c r="K70" s="77"/>
      <c r="N70" s="77"/>
      <c r="Q70" s="77"/>
      <c r="T70" s="77"/>
      <c r="W70" s="77"/>
      <c r="Z70" s="77"/>
      <c r="AC70" s="77"/>
      <c r="AF70" s="77"/>
    </row>
    <row r="71" spans="1:81" s="74" customFormat="1" ht="51" hidden="1" customHeight="1" x14ac:dyDescent="0.25">
      <c r="A71" s="78" t="s">
        <v>84</v>
      </c>
      <c r="C71" s="74">
        <f>SUMIF(B64:D68,"&gt;0")</f>
        <v>1</v>
      </c>
      <c r="D71" s="77"/>
      <c r="F71" s="74">
        <f>SUMIF(E64:G68,"&gt;0")</f>
        <v>1</v>
      </c>
      <c r="G71" s="77"/>
      <c r="I71" s="74">
        <f>SUMIF(H64:J68,"&gt;0")</f>
        <v>1</v>
      </c>
      <c r="J71" s="77"/>
      <c r="K71" s="77"/>
      <c r="M71" s="74">
        <f>SUMIF(L64:N68,"&gt;0")</f>
        <v>1</v>
      </c>
      <c r="N71" s="77"/>
      <c r="P71" s="74">
        <f>SUMIF(O64:Q68,"&gt;0")</f>
        <v>1</v>
      </c>
      <c r="Q71" s="77"/>
      <c r="S71" s="74">
        <f>SUMIF(R64:T68,"&gt;0")</f>
        <v>1</v>
      </c>
      <c r="T71" s="77"/>
      <c r="V71" s="74">
        <f>SUMIF(U64:W68,"&gt;0")</f>
        <v>0</v>
      </c>
      <c r="W71" s="77"/>
      <c r="Y71" s="74">
        <f>SUMIF(X64:Z68,"&gt;0")</f>
        <v>0</v>
      </c>
      <c r="Z71" s="77"/>
      <c r="AB71" s="74">
        <f>SUMIF(AA64:AC68,"&gt;0")</f>
        <v>0</v>
      </c>
      <c r="AC71" s="77"/>
      <c r="AE71" s="74">
        <f>SUMIF(AD64:AF68,"&gt;0")</f>
        <v>0</v>
      </c>
      <c r="AF71" s="77"/>
      <c r="AG71" s="78" t="s">
        <v>85</v>
      </c>
    </row>
    <row r="72" spans="1:81" s="74" customFormat="1" ht="12.75" hidden="1" customHeight="1" x14ac:dyDescent="0.25">
      <c r="A72" s="74" t="s">
        <v>75</v>
      </c>
      <c r="B72" s="74">
        <f>IF(B24=1,C71,0)</f>
        <v>0</v>
      </c>
      <c r="D72" s="77">
        <f>IF(D24=1,C71,0)</f>
        <v>0</v>
      </c>
      <c r="E72" s="74">
        <f>IF(E24=1,F71,0)</f>
        <v>1</v>
      </c>
      <c r="G72" s="77">
        <f>IF(G24=1,F71,0)</f>
        <v>0</v>
      </c>
      <c r="H72" s="74">
        <f>IF(H24=1,I71,0)</f>
        <v>0</v>
      </c>
      <c r="J72" s="77">
        <f>IF(J24=1,I71,0)</f>
        <v>0</v>
      </c>
      <c r="K72" s="77"/>
      <c r="L72" s="74">
        <f>IF(L24=1,M71,0)</f>
        <v>1</v>
      </c>
      <c r="N72" s="77">
        <f>IF(N24=1,M71,0)</f>
        <v>0</v>
      </c>
      <c r="O72" s="74">
        <f>IF(O24=1,P71,0)</f>
        <v>0</v>
      </c>
      <c r="Q72" s="77">
        <f>IF(Q24=1,P71,0)</f>
        <v>0</v>
      </c>
      <c r="R72" s="74">
        <f>IF(R24=1,S71,0)</f>
        <v>1</v>
      </c>
      <c r="T72" s="77">
        <f>IF(T24=1,S71,0)</f>
        <v>0</v>
      </c>
      <c r="U72" s="74">
        <f>IF(U24=1,V71,0)</f>
        <v>0</v>
      </c>
      <c r="W72" s="77">
        <f>IF(W24=1,V71,0)</f>
        <v>0</v>
      </c>
      <c r="X72" s="74">
        <f>IF(X24=1,Y71,0)</f>
        <v>0</v>
      </c>
      <c r="Z72" s="77">
        <f>IF(Z24=1,Y71,0)</f>
        <v>0</v>
      </c>
      <c r="AA72" s="74">
        <f>IF(AA24=1,AB71,0)</f>
        <v>0</v>
      </c>
      <c r="AC72" s="77">
        <f>IF(AC24=1,AB71,0)</f>
        <v>0</v>
      </c>
      <c r="AD72" s="74">
        <f>IF(AD24=1,AE71,0)</f>
        <v>0</v>
      </c>
      <c r="AF72" s="77">
        <f>IF(AF24=1,AE71,0)</f>
        <v>0</v>
      </c>
      <c r="AG72" s="74">
        <f>SUM(B72:AF72)</f>
        <v>3</v>
      </c>
    </row>
    <row r="73" spans="1:81" s="74" customFormat="1" ht="12.75" hidden="1" customHeight="1" x14ac:dyDescent="0.25">
      <c r="A73" s="74" t="s">
        <v>76</v>
      </c>
      <c r="B73" s="74">
        <f>IF(B24=2,C71,0)</f>
        <v>1</v>
      </c>
      <c r="D73" s="77">
        <f>IF(D24=2,C71,0)</f>
        <v>0</v>
      </c>
      <c r="E73" s="74">
        <f>IF(E24=2,F71,0)</f>
        <v>0</v>
      </c>
      <c r="G73" s="77">
        <f>IF(G24=2,F71,0)</f>
        <v>0</v>
      </c>
      <c r="H73" s="74">
        <f>IF(H24=2,I71,0)</f>
        <v>1</v>
      </c>
      <c r="J73" s="77">
        <f>IF(J24=2,I71,0)</f>
        <v>0</v>
      </c>
      <c r="K73" s="77"/>
      <c r="L73" s="74">
        <f>IF(L24=2,M71,0)</f>
        <v>0</v>
      </c>
      <c r="N73" s="77">
        <f>IF(N24=2,M71,0)</f>
        <v>0</v>
      </c>
      <c r="O73" s="74">
        <f>IF(O24=2,P71,0)</f>
        <v>0</v>
      </c>
      <c r="Q73" s="77">
        <f>IF(Q24=2,P71,0)</f>
        <v>0</v>
      </c>
      <c r="R73" s="74">
        <f>IF(R24=2,S71,0)</f>
        <v>0</v>
      </c>
      <c r="T73" s="77">
        <f>IF(T24=2,S71,0)</f>
        <v>1</v>
      </c>
      <c r="U73" s="74">
        <f>IF(U24=2,V71,0)</f>
        <v>0</v>
      </c>
      <c r="W73" s="77">
        <f>IF(W24=2,V71,0)</f>
        <v>0</v>
      </c>
      <c r="X73" s="74">
        <f>IF(X24=2,Y71,0)</f>
        <v>0</v>
      </c>
      <c r="Z73" s="77">
        <f>IF(Z24=2,Y71,0)</f>
        <v>0</v>
      </c>
      <c r="AA73" s="74">
        <f>IF(AA24=2,AB71,0)</f>
        <v>0</v>
      </c>
      <c r="AC73" s="77">
        <f>IF(AC24=2,AB71,0)</f>
        <v>0</v>
      </c>
      <c r="AD73" s="74">
        <f>IF(AD24=2,AE71,0)</f>
        <v>0</v>
      </c>
      <c r="AF73" s="77">
        <f>IF(AF24=2,AE71,0)</f>
        <v>0</v>
      </c>
      <c r="AG73" s="74">
        <f>SUM(B73:AF73)</f>
        <v>3</v>
      </c>
    </row>
    <row r="74" spans="1:81" s="74" customFormat="1" ht="12.75" hidden="1" customHeight="1" x14ac:dyDescent="0.25">
      <c r="A74" s="74" t="s">
        <v>77</v>
      </c>
      <c r="B74" s="74">
        <f>IF(B24=3,C71,0)</f>
        <v>0</v>
      </c>
      <c r="D74" s="77">
        <f>IF(D24=3,C71,0)</f>
        <v>1</v>
      </c>
      <c r="E74" s="74">
        <f>IF(E24=3,F71,0)</f>
        <v>0</v>
      </c>
      <c r="G74" s="77">
        <f>IF(G24=3,F71,0)</f>
        <v>0</v>
      </c>
      <c r="H74" s="74">
        <f>IF(H24=3,I71,0)</f>
        <v>0</v>
      </c>
      <c r="J74" s="77">
        <f>IF(J24=3,I71,0)</f>
        <v>0</v>
      </c>
      <c r="K74" s="77"/>
      <c r="L74" s="74">
        <f>IF(L24=3,M71,0)</f>
        <v>0</v>
      </c>
      <c r="N74" s="77">
        <f>IF(N24=3,M71,0)</f>
        <v>1</v>
      </c>
      <c r="O74" s="74">
        <f>IF(O24=3,P71,0)</f>
        <v>1</v>
      </c>
      <c r="Q74" s="77">
        <f>IF(Q24=3,P71,0)</f>
        <v>0</v>
      </c>
      <c r="R74" s="74">
        <f>IF(R24=3,S71,0)</f>
        <v>0</v>
      </c>
      <c r="T74" s="77">
        <f>IF(T24=3,S71,0)</f>
        <v>0</v>
      </c>
      <c r="U74" s="74">
        <f>IF(U24=3,V71,0)</f>
        <v>0</v>
      </c>
      <c r="W74" s="77">
        <f>IF(W24=3,V71,0)</f>
        <v>0</v>
      </c>
      <c r="X74" s="74">
        <f>IF(X24=3,Y71,0)</f>
        <v>0</v>
      </c>
      <c r="Z74" s="77">
        <f>IF(Z24=3,Y71,0)</f>
        <v>0</v>
      </c>
      <c r="AA74" s="74">
        <f>IF(AA24=3,AB71,0)</f>
        <v>0</v>
      </c>
      <c r="AC74" s="77">
        <f>IF(AC24=3,AB71,0)</f>
        <v>0</v>
      </c>
      <c r="AD74" s="74">
        <f>IF(AD24=3,AE71,0)</f>
        <v>0</v>
      </c>
      <c r="AF74" s="77">
        <f>IF(AF24=3,AE71,0)</f>
        <v>0</v>
      </c>
      <c r="AG74" s="74">
        <f>SUM(B74:AF74)</f>
        <v>3</v>
      </c>
    </row>
    <row r="75" spans="1:81" s="74" customFormat="1" ht="12.75" hidden="1" customHeight="1" x14ac:dyDescent="0.25">
      <c r="A75" s="74" t="s">
        <v>78</v>
      </c>
      <c r="B75" s="74">
        <f>IF(B24=4,C71,0)</f>
        <v>0</v>
      </c>
      <c r="D75" s="77">
        <f>IF(D24=4,C71,0)</f>
        <v>0</v>
      </c>
      <c r="E75" s="74">
        <f>IF(E24=4,F71,0)</f>
        <v>0</v>
      </c>
      <c r="G75" s="77">
        <f>IF(G24=4,F71,0)</f>
        <v>1</v>
      </c>
      <c r="H75" s="74">
        <f>IF(H24=4,I71,0)</f>
        <v>0</v>
      </c>
      <c r="J75" s="77">
        <f>IF(J24=4,I71,0)</f>
        <v>1</v>
      </c>
      <c r="K75" s="77"/>
      <c r="L75" s="74">
        <f>IF(L24=4,M71,0)</f>
        <v>0</v>
      </c>
      <c r="N75" s="77">
        <f>IF(N24=4,M71,0)</f>
        <v>0</v>
      </c>
      <c r="O75" s="74">
        <f>IF(O24=4,P71,0)</f>
        <v>0</v>
      </c>
      <c r="Q75" s="77">
        <f>IF(Q24=4,P71,0)</f>
        <v>1</v>
      </c>
      <c r="R75" s="74">
        <f>IF(R24=4,S71,0)</f>
        <v>0</v>
      </c>
      <c r="T75" s="77">
        <f>IF(T24=4,S71,0)</f>
        <v>0</v>
      </c>
      <c r="U75" s="74">
        <f>IF(U24=4,V71,0)</f>
        <v>0</v>
      </c>
      <c r="W75" s="77">
        <f>IF(W24=4,V71,0)</f>
        <v>0</v>
      </c>
      <c r="X75" s="74">
        <f>IF(X24=4,Y71,0)</f>
        <v>0</v>
      </c>
      <c r="Z75" s="77">
        <f>IF(Z24=4,Y71,0)</f>
        <v>0</v>
      </c>
      <c r="AA75" s="74">
        <f>IF(AA24=4,AB71,0)</f>
        <v>0</v>
      </c>
      <c r="AC75" s="77">
        <f>IF(AC24=4,AB71,0)</f>
        <v>0</v>
      </c>
      <c r="AD75" s="74">
        <f>IF(AD24=4,AE71,0)</f>
        <v>0</v>
      </c>
      <c r="AF75" s="77">
        <f>IF(AF24=4,AE71,0)</f>
        <v>0</v>
      </c>
      <c r="AG75" s="74">
        <f>SUM(B75:AF75)</f>
        <v>3</v>
      </c>
    </row>
    <row r="76" spans="1:81" s="74" customFormat="1" ht="12.75" hidden="1" customHeight="1" x14ac:dyDescent="0.25">
      <c r="A76" s="74" t="s">
        <v>79</v>
      </c>
      <c r="B76" s="74">
        <f>IF(B24=5,C71,0)</f>
        <v>0</v>
      </c>
      <c r="D76" s="77">
        <f>IF(D24=5,C71,0)</f>
        <v>0</v>
      </c>
      <c r="E76" s="74">
        <f>IF(E24=5,F71,0)</f>
        <v>0</v>
      </c>
      <c r="G76" s="77">
        <f>IF(G24=5,F71,0)</f>
        <v>0</v>
      </c>
      <c r="H76" s="74">
        <f>IF(H24=5,I71,0)</f>
        <v>0</v>
      </c>
      <c r="J76" s="77">
        <f>IF(J24=5,I71,0)</f>
        <v>0</v>
      </c>
      <c r="K76" s="77"/>
      <c r="L76" s="74">
        <f>IF(L24=5,M71,0)</f>
        <v>0</v>
      </c>
      <c r="N76" s="77">
        <f>IF(N24=5,M71,0)</f>
        <v>0</v>
      </c>
      <c r="O76" s="74">
        <f>IF(O24=5,P71,0)</f>
        <v>0</v>
      </c>
      <c r="Q76" s="77">
        <f>IF(Q24=5,P71,0)</f>
        <v>0</v>
      </c>
      <c r="R76" s="74">
        <f>IF(R24=5,S71,0)</f>
        <v>0</v>
      </c>
      <c r="T76" s="77">
        <f>IF(T24=5,S71,0)</f>
        <v>0</v>
      </c>
      <c r="U76" s="74">
        <f>IF(U24=5,V71,0)</f>
        <v>0</v>
      </c>
      <c r="W76" s="77">
        <f>IF(W24=5,V71,0)</f>
        <v>0</v>
      </c>
      <c r="X76" s="74">
        <f>IF(X24=5,Y71,0)</f>
        <v>0</v>
      </c>
      <c r="Z76" s="77">
        <f>IF(Z24=5,Y71,0)</f>
        <v>0</v>
      </c>
      <c r="AA76" s="74">
        <f>IF(AA24=5,AB71,0)</f>
        <v>0</v>
      </c>
      <c r="AC76" s="77">
        <f>IF(AC24=5,AB71,0)</f>
        <v>0</v>
      </c>
      <c r="AD76" s="74">
        <f>IF(AD24=5,AE71,0)</f>
        <v>0</v>
      </c>
      <c r="AF76" s="77">
        <f>IF(AF24=5,AE71,0)</f>
        <v>0</v>
      </c>
      <c r="AG76" s="74">
        <f>SUM(B76:AF76)</f>
        <v>0</v>
      </c>
    </row>
    <row r="77" spans="1:81" hidden="1" x14ac:dyDescent="0.25">
      <c r="A77" s="162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59"/>
      <c r="AP77" s="159"/>
      <c r="AQ77" s="159"/>
      <c r="AR77" s="159"/>
      <c r="AS77" s="81"/>
      <c r="AT77" s="81"/>
      <c r="AU77" s="81"/>
      <c r="AV77" s="81"/>
      <c r="AW77" s="152"/>
      <c r="BB77" s="152"/>
      <c r="BE77" s="152"/>
      <c r="BH77" s="152"/>
      <c r="BK77" s="152"/>
      <c r="BN77" s="152"/>
      <c r="BQ77" s="152"/>
      <c r="BT77" s="152"/>
      <c r="BW77" s="152"/>
      <c r="BZ77" s="152"/>
      <c r="CC77" s="152"/>
    </row>
    <row r="78" spans="1:81" s="81" customFormat="1" hidden="1" x14ac:dyDescent="0.25">
      <c r="A78" s="83"/>
      <c r="B78" s="83"/>
      <c r="C78" s="83" t="s">
        <v>86</v>
      </c>
      <c r="D78" s="83">
        <v>1</v>
      </c>
      <c r="E78" s="83"/>
      <c r="F78" s="83"/>
      <c r="G78" s="83">
        <v>2</v>
      </c>
      <c r="H78" s="83"/>
      <c r="I78" s="83"/>
      <c r="J78" s="83">
        <v>3</v>
      </c>
      <c r="K78" s="83"/>
      <c r="L78" s="83"/>
      <c r="M78" s="83"/>
      <c r="N78" s="83">
        <v>4</v>
      </c>
      <c r="O78" s="83"/>
      <c r="P78" s="83"/>
      <c r="Q78" s="83">
        <v>5</v>
      </c>
      <c r="R78" s="83"/>
      <c r="S78" s="83"/>
      <c r="T78" s="83">
        <v>6</v>
      </c>
      <c r="U78" s="83"/>
      <c r="V78" s="83"/>
      <c r="W78" s="83">
        <v>7</v>
      </c>
      <c r="X78" s="83"/>
      <c r="Y78" s="83"/>
      <c r="Z78" s="83">
        <v>8</v>
      </c>
      <c r="AA78" s="83"/>
      <c r="AB78" s="83"/>
      <c r="AC78" s="83">
        <v>9</v>
      </c>
      <c r="AD78" s="83"/>
      <c r="AE78" s="83"/>
      <c r="AF78" s="83">
        <v>10</v>
      </c>
      <c r="AG78"/>
      <c r="AH78" s="83"/>
      <c r="AJ78" s="84"/>
      <c r="AK78"/>
      <c r="AL78"/>
      <c r="AM78"/>
      <c r="AN78"/>
      <c r="AO78"/>
      <c r="AP78"/>
      <c r="AT78" s="84" t="s">
        <v>87</v>
      </c>
      <c r="AW78" s="85"/>
      <c r="BB78" s="85"/>
      <c r="BE78" s="85"/>
      <c r="BH78" s="85"/>
      <c r="BK78" s="85"/>
      <c r="BN78" s="85"/>
      <c r="BQ78" s="85"/>
      <c r="BT78" s="85"/>
      <c r="BW78" s="85"/>
      <c r="BZ78" s="85"/>
      <c r="CC78" s="85"/>
    </row>
    <row r="79" spans="1:81" s="81" customFormat="1" hidden="1" x14ac:dyDescent="0.25">
      <c r="A79" s="86">
        <v>1</v>
      </c>
      <c r="B79" s="86" t="str">
        <f>E8</f>
        <v>Kershaw Dev 12 Black</v>
      </c>
      <c r="C79" s="86">
        <f>VLOOKUP(B79,AU$3:AY$33,3,FALSE)</f>
        <v>1200</v>
      </c>
      <c r="D79" s="86">
        <f>IF(B72,B87,IF(D72,D87,C79))</f>
        <v>1200</v>
      </c>
      <c r="E79" s="86"/>
      <c r="F79" s="86"/>
      <c r="G79" s="86">
        <f>IF(E72,E87,IF(G72,G87,D79))</f>
        <v>1216</v>
      </c>
      <c r="H79" s="86"/>
      <c r="I79" s="86"/>
      <c r="J79" s="86">
        <f>IF(H72,H87,IF(J72,J87,G79))</f>
        <v>1216</v>
      </c>
      <c r="K79" s="86"/>
      <c r="L79" s="86"/>
      <c r="M79" s="86"/>
      <c r="N79" s="86">
        <f>IF(L72,L87,IF(N72,N87,J79))</f>
        <v>1230.5304984710244</v>
      </c>
      <c r="O79" s="86"/>
      <c r="P79" s="86"/>
      <c r="Q79" s="86">
        <f>IF(O72,O87,IF(Q72,Q87,N79))</f>
        <v>1230.5304984710244</v>
      </c>
      <c r="R79" s="86"/>
      <c r="S79" s="86"/>
      <c r="T79" s="86">
        <f>IF(R72,R87,IF(T72,T87,Q79))</f>
        <v>1214.5304984710244</v>
      </c>
      <c r="U79" s="86"/>
      <c r="V79" s="86"/>
      <c r="W79" s="86">
        <f>IF(U72,U87,IF(W72,W87,T79))</f>
        <v>1214.5304984710244</v>
      </c>
      <c r="X79" s="86"/>
      <c r="Y79" s="86"/>
      <c r="Z79" s="86">
        <f>IF(X72,X87,IF(Z72,Z87,W79))</f>
        <v>1214.5304984710244</v>
      </c>
      <c r="AA79" s="86"/>
      <c r="AB79" s="86"/>
      <c r="AC79" s="86">
        <f>IF(AA72,AA87,IF(AC72,AC87,Z79))</f>
        <v>1214.5304984710244</v>
      </c>
      <c r="AD79" s="86"/>
      <c r="AE79" s="86"/>
      <c r="AF79" s="86">
        <f>IF(AD72,AD87,IF(AF72,AF87,AC79))</f>
        <v>1214.5304984710244</v>
      </c>
      <c r="AG79"/>
      <c r="AH79"/>
      <c r="AK79"/>
      <c r="AL79"/>
      <c r="AM79"/>
      <c r="AN79"/>
      <c r="AO79"/>
      <c r="AP79"/>
      <c r="AT79" s="81" t="str">
        <f>B79</f>
        <v>Kershaw Dev 12 Black</v>
      </c>
      <c r="AU79" s="81">
        <f>AF79</f>
        <v>1214.5304984710244</v>
      </c>
      <c r="AW79" s="85"/>
      <c r="BB79" s="85"/>
      <c r="BE79" s="85"/>
      <c r="BH79" s="85"/>
      <c r="BK79" s="85"/>
      <c r="BN79" s="85"/>
      <c r="BQ79" s="85"/>
      <c r="BT79" s="85"/>
      <c r="BW79" s="85"/>
      <c r="BZ79" s="85"/>
      <c r="CC79" s="85"/>
    </row>
    <row r="80" spans="1:81" s="81" customFormat="1" hidden="1" x14ac:dyDescent="0.25">
      <c r="A80" s="86">
        <v>2</v>
      </c>
      <c r="B80" s="86" t="str">
        <f>E10</f>
        <v>SC Midlands KP Garnet</v>
      </c>
      <c r="C80" s="86">
        <f>VLOOKUP(B80,AU$3:AY$33,3,FALSE)</f>
        <v>1200</v>
      </c>
      <c r="D80" s="86">
        <f>IF(B73,B87,IF(D73,D87,C80))</f>
        <v>1216</v>
      </c>
      <c r="E80" s="86"/>
      <c r="F80" s="86"/>
      <c r="G80" s="86">
        <f>IF(E73,E87,IF(G73,G87,D80))</f>
        <v>1216</v>
      </c>
      <c r="H80" s="86"/>
      <c r="I80" s="86"/>
      <c r="J80" s="86">
        <f>IF(H73,H87,IF(J73,J87,G80))</f>
        <v>1230.5304984710244</v>
      </c>
      <c r="K80" s="86"/>
      <c r="L80" s="86"/>
      <c r="M80" s="86"/>
      <c r="N80" s="86">
        <f>IF(L73,L87,IF(N73,N87,J80))</f>
        <v>1230.5304984710244</v>
      </c>
      <c r="O80" s="86"/>
      <c r="P80" s="86"/>
      <c r="Q80" s="86">
        <f>IF(O73,O87,IF(Q73,Q87,N80))</f>
        <v>1230.5304984710244</v>
      </c>
      <c r="R80" s="86"/>
      <c r="S80" s="86"/>
      <c r="T80" s="86">
        <f>IF(R73,R87,IF(T73,T87,Q80))</f>
        <v>1246.5304984710244</v>
      </c>
      <c r="U80" s="86"/>
      <c r="V80" s="86"/>
      <c r="W80" s="86">
        <f>IF(U73,U87,IF(W73,W87,T80))</f>
        <v>1246.5304984710244</v>
      </c>
      <c r="X80" s="86"/>
      <c r="Y80" s="86"/>
      <c r="Z80" s="86">
        <f>IF(X73,X87,IF(Z73,Z87,W80))</f>
        <v>1246.5304984710244</v>
      </c>
      <c r="AA80" s="86"/>
      <c r="AB80" s="86"/>
      <c r="AC80" s="86">
        <f>IF(AA73,AA87,IF(AC73,AC87,Z80))</f>
        <v>1246.5304984710244</v>
      </c>
      <c r="AD80" s="86"/>
      <c r="AE80" s="86"/>
      <c r="AF80" s="86">
        <f>IF(AD73,AD87,IF(AF73,AF87,AC80))</f>
        <v>1246.5304984710244</v>
      </c>
      <c r="AG80"/>
      <c r="AH80"/>
      <c r="AK80"/>
      <c r="AM80"/>
      <c r="AN80"/>
      <c r="AO80"/>
      <c r="AP80"/>
      <c r="AT80" s="81" t="str">
        <f>B80</f>
        <v>SC Midlands KP Garnet</v>
      </c>
      <c r="AU80" s="81">
        <f>AF80</f>
        <v>1246.5304984710244</v>
      </c>
      <c r="AW80" s="85"/>
      <c r="BB80" s="85"/>
      <c r="BE80" s="85"/>
      <c r="BH80" s="85"/>
      <c r="BK80" s="85"/>
      <c r="BN80" s="85"/>
      <c r="BQ80" s="85"/>
      <c r="BT80" s="85"/>
      <c r="BW80" s="85"/>
      <c r="BZ80" s="85"/>
      <c r="CC80" s="85"/>
    </row>
    <row r="81" spans="1:81" s="81" customFormat="1" hidden="1" x14ac:dyDescent="0.25">
      <c r="A81" s="86">
        <v>3</v>
      </c>
      <c r="B81" s="86" t="str">
        <f>E12</f>
        <v>SC Midlands KP Silver</v>
      </c>
      <c r="C81" s="86">
        <f>VLOOKUP(B81,AU$3:AY$33,3,FALSE)</f>
        <v>1200</v>
      </c>
      <c r="D81" s="86">
        <f>IF(B74,B87,IF(D74,D87,C81))</f>
        <v>1184</v>
      </c>
      <c r="E81" s="86"/>
      <c r="F81" s="86"/>
      <c r="G81" s="86">
        <f>IF(E74,E87,IF(G74,G87,D81))</f>
        <v>1184</v>
      </c>
      <c r="H81" s="86"/>
      <c r="I81" s="86"/>
      <c r="J81" s="86">
        <f>IF(H74,H87,IF(J74,J87,G81))</f>
        <v>1184</v>
      </c>
      <c r="K81" s="86"/>
      <c r="L81" s="86"/>
      <c r="M81" s="86"/>
      <c r="N81" s="86">
        <f>IF(L74,L87,IF(N74,N87,J81))</f>
        <v>1169.4695015289756</v>
      </c>
      <c r="O81" s="86"/>
      <c r="P81" s="86"/>
      <c r="Q81" s="86">
        <f>IF(O74,O87,IF(Q74,Q87,N81))</f>
        <v>1185.4695015289756</v>
      </c>
      <c r="R81" s="86"/>
      <c r="S81" s="86"/>
      <c r="T81" s="86">
        <f>IF(R74,R87,IF(T74,T87,Q81))</f>
        <v>1185.4695015289756</v>
      </c>
      <c r="U81" s="86"/>
      <c r="V81" s="86"/>
      <c r="W81" s="86">
        <f>IF(U74,U87,IF(W74,W87,T81))</f>
        <v>1185.4695015289756</v>
      </c>
      <c r="X81" s="86"/>
      <c r="Y81" s="86"/>
      <c r="Z81" s="86">
        <f>IF(X74,X87,IF(Z74,Z87,W81))</f>
        <v>1185.4695015289756</v>
      </c>
      <c r="AA81" s="86"/>
      <c r="AB81" s="86"/>
      <c r="AC81" s="86">
        <f>IF(AA74,AA87,IF(AC74,AC87,Z81))</f>
        <v>1185.4695015289756</v>
      </c>
      <c r="AD81" s="86"/>
      <c r="AE81" s="86"/>
      <c r="AF81" s="86">
        <f>IF(AD74,AD87,IF(AF74,AF87,AC81))</f>
        <v>1185.4695015289756</v>
      </c>
      <c r="AG81"/>
      <c r="AH81"/>
      <c r="AK81"/>
      <c r="AM81"/>
      <c r="AN81"/>
      <c r="AO81"/>
      <c r="AP81"/>
      <c r="AT81" s="81" t="str">
        <f>B81</f>
        <v>SC Midlands KP Silver</v>
      </c>
      <c r="AU81" s="81">
        <f>AF81</f>
        <v>1185.4695015289756</v>
      </c>
      <c r="AW81" s="85"/>
      <c r="BB81" s="85"/>
      <c r="BE81" s="85"/>
      <c r="BH81" s="85"/>
      <c r="BK81" s="85"/>
      <c r="BN81" s="85"/>
      <c r="BQ81" s="85"/>
      <c r="BT81" s="85"/>
      <c r="BW81" s="85"/>
      <c r="BZ81" s="85"/>
      <c r="CC81" s="85"/>
    </row>
    <row r="82" spans="1:81" s="81" customFormat="1" hidden="1" x14ac:dyDescent="0.25">
      <c r="A82" s="86">
        <v>4</v>
      </c>
      <c r="B82" s="86" t="str">
        <f>E14</f>
        <v>Foothills Skylar</v>
      </c>
      <c r="C82" s="86">
        <f>VLOOKUP(B82,AU$3:AY$33,3,FALSE)</f>
        <v>1200</v>
      </c>
      <c r="D82" s="86">
        <f>IF(B75,B87,IF(D75,D87,C82))</f>
        <v>1200</v>
      </c>
      <c r="E82" s="86"/>
      <c r="F82" s="86"/>
      <c r="G82" s="86">
        <f>IF(E75,E87,IF(G75,G87,D82))</f>
        <v>1184</v>
      </c>
      <c r="H82" s="86"/>
      <c r="I82" s="86"/>
      <c r="J82" s="86">
        <f>IF(H75,H87,IF(J75,J87,G82))</f>
        <v>1169.4695015289756</v>
      </c>
      <c r="K82" s="86"/>
      <c r="L82" s="86"/>
      <c r="M82" s="86"/>
      <c r="N82" s="86">
        <f>IF(L75,L87,IF(N75,N87,J82))</f>
        <v>1169.4695015289756</v>
      </c>
      <c r="O82" s="86"/>
      <c r="P82" s="86"/>
      <c r="Q82" s="86">
        <f>IF(O75,O87,IF(Q75,Q87,N82))</f>
        <v>1153.4695015289756</v>
      </c>
      <c r="R82" s="86"/>
      <c r="S82" s="86"/>
      <c r="T82" s="86">
        <f>IF(R75,R87,IF(T75,T87,Q82))</f>
        <v>1153.4695015289756</v>
      </c>
      <c r="U82" s="86"/>
      <c r="V82" s="86"/>
      <c r="W82" s="86">
        <f>IF(U75,U87,IF(W75,W87,T82))</f>
        <v>1153.4695015289756</v>
      </c>
      <c r="X82" s="86"/>
      <c r="Y82" s="86"/>
      <c r="Z82" s="86">
        <f>IF(X75,X87,IF(Z75,Z87,W82))</f>
        <v>1153.4695015289756</v>
      </c>
      <c r="AA82" s="86"/>
      <c r="AB82" s="86"/>
      <c r="AC82" s="86">
        <f>IF(AA75,AA87,IF(AC75,AC87,Z82))</f>
        <v>1153.4695015289756</v>
      </c>
      <c r="AD82" s="86"/>
      <c r="AE82" s="86"/>
      <c r="AF82" s="86">
        <f>IF(AD75,AD87,IF(AF75,AF87,AC82))</f>
        <v>1153.4695015289756</v>
      </c>
      <c r="AG82"/>
      <c r="AH82"/>
      <c r="AK82"/>
      <c r="AM82"/>
      <c r="AN82"/>
      <c r="AO82"/>
      <c r="AP82"/>
      <c r="AT82" s="81" t="str">
        <f>B82</f>
        <v>Foothills Skylar</v>
      </c>
      <c r="AU82" s="81">
        <f>AF82</f>
        <v>1153.4695015289756</v>
      </c>
      <c r="AW82" s="85"/>
      <c r="BB82" s="85"/>
      <c r="BE82" s="85"/>
      <c r="BH82" s="85"/>
      <c r="BK82" s="85"/>
      <c r="BN82" s="85"/>
      <c r="BQ82" s="85"/>
      <c r="BT82" s="85"/>
      <c r="BW82" s="85"/>
      <c r="BZ82" s="85"/>
      <c r="CC82" s="85"/>
    </row>
    <row r="83" spans="1:81" s="81" customFormat="1" hidden="1" x14ac:dyDescent="0.25">
      <c r="A83" s="86">
        <v>5</v>
      </c>
      <c r="B83" s="86">
        <f>E16</f>
        <v>0</v>
      </c>
      <c r="C83" s="86" t="e">
        <f>VLOOKUP(B83,AU$3:AY$33,3,FALSE)</f>
        <v>#N/A</v>
      </c>
      <c r="D83" s="86" t="e">
        <f>IF(B76,B87,IF(D76,D87,C83))</f>
        <v>#N/A</v>
      </c>
      <c r="E83" s="86"/>
      <c r="F83" s="86"/>
      <c r="G83" s="86" t="e">
        <f>IF(E76,E87,IF(G76,G87,D83))</f>
        <v>#N/A</v>
      </c>
      <c r="H83" s="86"/>
      <c r="I83" s="86"/>
      <c r="J83" s="86" t="e">
        <f>IF(H76,H87,IF(J76,J87,G83))</f>
        <v>#N/A</v>
      </c>
      <c r="K83" s="86"/>
      <c r="L83" s="86"/>
      <c r="M83" s="86"/>
      <c r="N83" s="86" t="e">
        <f>IF(L76,L87,IF(N76,N87,J83))</f>
        <v>#N/A</v>
      </c>
      <c r="O83" s="86"/>
      <c r="P83" s="86"/>
      <c r="Q83" s="86" t="e">
        <f>IF(O76,O87,IF(Q76,Q87,N83))</f>
        <v>#N/A</v>
      </c>
      <c r="R83" s="86"/>
      <c r="S83" s="86"/>
      <c r="T83" s="86" t="e">
        <f>IF(R76,R87,IF(T76,T87,Q83))</f>
        <v>#N/A</v>
      </c>
      <c r="U83" s="86"/>
      <c r="V83" s="86"/>
      <c r="W83" s="86" t="e">
        <f>IF(U76,U87,IF(W76,W87,T83))</f>
        <v>#N/A</v>
      </c>
      <c r="X83" s="86"/>
      <c r="Y83" s="86"/>
      <c r="Z83" s="86" t="e">
        <f>IF(X76,X87,IF(Z76,Z87,W83))</f>
        <v>#N/A</v>
      </c>
      <c r="AA83" s="86"/>
      <c r="AB83" s="86"/>
      <c r="AC83" s="86" t="e">
        <f>IF(AA76,AA87,IF(AC76,AC87,Z83))</f>
        <v>#N/A</v>
      </c>
      <c r="AD83" s="86"/>
      <c r="AE83" s="86"/>
      <c r="AF83" s="86" t="e">
        <f>IF(AD76,AD87,IF(AF76,AF87,AC83))</f>
        <v>#N/A</v>
      </c>
      <c r="AG83"/>
      <c r="AH83"/>
      <c r="AK83"/>
      <c r="AM83"/>
      <c r="AN83"/>
      <c r="AO83"/>
      <c r="AP83"/>
      <c r="AT83" s="81">
        <f>B83</f>
        <v>0</v>
      </c>
      <c r="AU83" s="81" t="e">
        <f>AF83</f>
        <v>#N/A</v>
      </c>
      <c r="AW83" s="85"/>
      <c r="BB83" s="85"/>
      <c r="BE83" s="85"/>
      <c r="BH83" s="85"/>
      <c r="BK83" s="85"/>
      <c r="BN83" s="85"/>
      <c r="BQ83" s="85"/>
      <c r="BT83" s="85"/>
      <c r="BW83" s="85"/>
      <c r="BZ83" s="85"/>
      <c r="CC83" s="85"/>
    </row>
    <row r="84" spans="1:81" s="81" customFormat="1" hidden="1" x14ac:dyDescent="0.25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/>
      <c r="AH84"/>
      <c r="AK84"/>
      <c r="AM84"/>
      <c r="AN84"/>
      <c r="AO84"/>
      <c r="AP84"/>
      <c r="AW84" s="85"/>
      <c r="BB84" s="85"/>
      <c r="BE84" s="85"/>
      <c r="BH84" s="85"/>
      <c r="BK84" s="85"/>
      <c r="BN84" s="85"/>
      <c r="BQ84" s="85"/>
      <c r="BT84" s="85"/>
      <c r="BW84" s="85"/>
      <c r="BZ84" s="85"/>
      <c r="CC84" s="85"/>
    </row>
    <row r="85" spans="1:81" s="81" customFormat="1" hidden="1" x14ac:dyDescent="0.25">
      <c r="A85" s="86" t="s">
        <v>88</v>
      </c>
      <c r="B85" s="86">
        <f>VLOOKUP(B24,$A79:$AF83,3,FALSE)</f>
        <v>1200</v>
      </c>
      <c r="C85" s="86">
        <v>1</v>
      </c>
      <c r="D85" s="86">
        <f>VLOOKUP(D24,$A79:$AF83,3,FALSE)</f>
        <v>1200</v>
      </c>
      <c r="E85" s="86">
        <f>VLOOKUP(E24,$A79:$AF83,4,FALSE)</f>
        <v>1200</v>
      </c>
      <c r="F85" s="86">
        <v>2</v>
      </c>
      <c r="G85" s="86">
        <f>VLOOKUP(G24,$A79:$AF83,4,FALSE)</f>
        <v>1200</v>
      </c>
      <c r="H85" s="86">
        <f>VLOOKUP(H24,$A79:$AF83,7,FALSE)</f>
        <v>1216</v>
      </c>
      <c r="I85" s="86">
        <v>3</v>
      </c>
      <c r="J85" s="86">
        <f>VLOOKUP(J24,$A79:$AF83,7,FALSE)</f>
        <v>1184</v>
      </c>
      <c r="K85" s="86"/>
      <c r="L85" s="86">
        <f>VLOOKUP(L24,$A79:$AF83,10,FALSE)</f>
        <v>1216</v>
      </c>
      <c r="M85" s="86">
        <v>4</v>
      </c>
      <c r="N85" s="86">
        <f>VLOOKUP(N24,$A79:$AF83,10,FALSE)</f>
        <v>1184</v>
      </c>
      <c r="O85" s="86">
        <f>VLOOKUP(O24,$A79:$AF83,14,FALSE)</f>
        <v>1169.4695015289756</v>
      </c>
      <c r="P85" s="86">
        <v>5</v>
      </c>
      <c r="Q85" s="86">
        <f>VLOOKUP(Q24,$A79:$AF83,14,FALSE)</f>
        <v>1169.4695015289756</v>
      </c>
      <c r="R85" s="86">
        <f>VLOOKUP(R24,$A79:$AF83,17,FALSE)</f>
        <v>1230.5304984710244</v>
      </c>
      <c r="S85" s="86">
        <v>6</v>
      </c>
      <c r="T85" s="86">
        <f>VLOOKUP(T24,$A79:$AF83,17,FALSE)</f>
        <v>1230.5304984710244</v>
      </c>
      <c r="U85" s="86" t="e">
        <f>VLOOKUP(U24,$A79:$AF83,20,FALSE)</f>
        <v>#N/A</v>
      </c>
      <c r="V85" s="86">
        <v>7</v>
      </c>
      <c r="W85" s="86" t="e">
        <f>VLOOKUP(W24,$A79:$AF83,20,FALSE)</f>
        <v>#N/A</v>
      </c>
      <c r="X85" s="86" t="e">
        <f>VLOOKUP(X24,$A79:$AF83,23,FALSE)</f>
        <v>#N/A</v>
      </c>
      <c r="Y85" s="86">
        <v>8</v>
      </c>
      <c r="Z85" s="86" t="e">
        <f>VLOOKUP(Z24,$A79:$AF83,23,FALSE)</f>
        <v>#N/A</v>
      </c>
      <c r="AA85" s="86" t="e">
        <f>VLOOKUP(AA24,$A79:$AF83,26,FALSE)</f>
        <v>#N/A</v>
      </c>
      <c r="AB85" s="86">
        <v>9</v>
      </c>
      <c r="AC85" s="86" t="e">
        <f>VLOOKUP(AC24,$A79:$AF83,26,FALSE)</f>
        <v>#N/A</v>
      </c>
      <c r="AD85" s="86" t="e">
        <f>VLOOKUP(AD24,$A79:$AF83,29,FALSE)</f>
        <v>#N/A</v>
      </c>
      <c r="AE85" s="86">
        <v>10</v>
      </c>
      <c r="AF85" s="86" t="e">
        <f>VLOOKUP(AF24,$A79:$AF83,29,FALSE)</f>
        <v>#N/A</v>
      </c>
      <c r="AG85"/>
      <c r="AH85" s="162"/>
      <c r="AI85" s="162"/>
      <c r="AJ85" s="162"/>
      <c r="AK85" s="162"/>
      <c r="AL85" s="162"/>
      <c r="AM85" s="162"/>
      <c r="AN85" s="162"/>
      <c r="AO85" s="159"/>
      <c r="AP85" s="159"/>
      <c r="AQ85" s="159"/>
      <c r="AR85" s="159"/>
      <c r="AW85" s="85"/>
      <c r="BB85" s="85"/>
      <c r="BE85" s="85"/>
      <c r="BH85" s="85"/>
      <c r="BK85" s="85"/>
      <c r="BN85" s="85"/>
      <c r="BQ85" s="85"/>
      <c r="BT85" s="85"/>
      <c r="BW85" s="85"/>
      <c r="BZ85" s="85"/>
      <c r="CC85" s="85"/>
    </row>
    <row r="86" spans="1:81" s="91" customFormat="1" hidden="1" x14ac:dyDescent="0.25">
      <c r="A86" s="87" t="s">
        <v>89</v>
      </c>
      <c r="B86" s="87">
        <f>1/(1+(10^-((B85-D85)/400)))*(B36+D36)</f>
        <v>0.5</v>
      </c>
      <c r="C86" s="87"/>
      <c r="D86" s="87">
        <f>1/(1+(10^-((D85-B85)/400)))*(B36+D36)</f>
        <v>0.5</v>
      </c>
      <c r="E86" s="87">
        <f>1/(1+(10^-((E85-G85)/400)))*(E36+G36)</f>
        <v>0.5</v>
      </c>
      <c r="F86" s="87"/>
      <c r="G86" s="87">
        <f>1/(1+(10^-((G85-E85)/400)))*(E36+G36)</f>
        <v>0.5</v>
      </c>
      <c r="H86" s="87">
        <f>1/(1+(10^-((H85-J85)/400)))*(H36+J36)</f>
        <v>0.54592192278048368</v>
      </c>
      <c r="I86" s="87"/>
      <c r="J86" s="87">
        <f>1/(1+(10^-((J85-H85)/400)))*(H36+J36)</f>
        <v>0.45407807721951632</v>
      </c>
      <c r="K86" s="87"/>
      <c r="L86" s="87">
        <f>1/(1+(10^-((L85-N85)/400)))*(L36+N36)</f>
        <v>0.54592192278048368</v>
      </c>
      <c r="M86" s="87"/>
      <c r="N86" s="87">
        <f>1/(1+(10^-((N85-L85)/400)))*(L36+N36)</f>
        <v>0.45407807721951632</v>
      </c>
      <c r="O86" s="87">
        <f>1/(1+(10^-((O85-Q85)/400)))*(O36+Q36)</f>
        <v>0.5</v>
      </c>
      <c r="P86" s="87"/>
      <c r="Q86" s="87">
        <f>1/(1+(10^-((Q85-O85)/400)))*(O36+Q36)</f>
        <v>0.5</v>
      </c>
      <c r="R86" s="87">
        <f>1/(1+(10^-((R85-T85)/400)))*(R36+T36)</f>
        <v>0.5</v>
      </c>
      <c r="S86" s="87"/>
      <c r="T86" s="87">
        <f>1/(1+(10^-((T85-R85)/400)))*(R36+T36)</f>
        <v>0.5</v>
      </c>
      <c r="U86" s="87" t="e">
        <f>1/(1+(10^-((U85-W85)/400)))*(U36+W36)</f>
        <v>#N/A</v>
      </c>
      <c r="V86" s="87"/>
      <c r="W86" s="87" t="e">
        <f>1/(1+(10^-((W85-U85)/400)))*(U36+W36)</f>
        <v>#N/A</v>
      </c>
      <c r="X86" s="87" t="e">
        <f>1/(1+(10^-((X85-Z85)/400)))*(X36+Z36)</f>
        <v>#N/A</v>
      </c>
      <c r="Y86" s="87"/>
      <c r="Z86" s="87" t="e">
        <f>1/(1+(10^-((Z85-X85)/400)))*(X36+Z36)</f>
        <v>#N/A</v>
      </c>
      <c r="AA86" s="87" t="e">
        <f>1/(1+(10^-((AA85-AC85)/400)))*(AA36+AC36)</f>
        <v>#N/A</v>
      </c>
      <c r="AB86" s="87"/>
      <c r="AC86" s="87" t="e">
        <f>1/(1+(10^-((AC85-AA85)/400)))*(AA36+AC36)</f>
        <v>#N/A</v>
      </c>
      <c r="AD86" s="87" t="e">
        <f>1/(1+(10^-((AD85-AF85)/400)))*(AD36+AF36)</f>
        <v>#N/A</v>
      </c>
      <c r="AE86" s="87"/>
      <c r="AF86" s="87" t="e">
        <f>1/(1+(10^-((AF85-AD85)/400)))*(AD36+AF36)</f>
        <v>#N/A</v>
      </c>
      <c r="AG86" s="88"/>
      <c r="AH86" s="89"/>
      <c r="AI86" s="89"/>
      <c r="AJ86" s="89"/>
      <c r="AK86" s="89"/>
      <c r="AL86" s="89"/>
      <c r="AM86" s="89"/>
      <c r="AN86" s="89"/>
      <c r="AO86" s="90"/>
      <c r="AP86" s="90"/>
      <c r="AQ86" s="90"/>
      <c r="AR86" s="90"/>
      <c r="AW86" s="92"/>
      <c r="BB86" s="92"/>
      <c r="BE86" s="92"/>
      <c r="BH86" s="92"/>
      <c r="BK86" s="92"/>
      <c r="BN86" s="92"/>
      <c r="BQ86" s="92"/>
      <c r="BT86" s="92"/>
      <c r="BW86" s="92"/>
      <c r="BZ86" s="92"/>
      <c r="CC86" s="92"/>
    </row>
    <row r="87" spans="1:81" s="97" customFormat="1" hidden="1" x14ac:dyDescent="0.25">
      <c r="A87" s="93" t="s">
        <v>90</v>
      </c>
      <c r="B87" s="93">
        <f>B85+(B36-B86)*$BA$1</f>
        <v>1216</v>
      </c>
      <c r="C87" s="93"/>
      <c r="D87" s="93">
        <f>D85+(D36-D86)*$BA$1</f>
        <v>1184</v>
      </c>
      <c r="E87" s="93">
        <f>E85+(E36-E86)*$BA$1</f>
        <v>1216</v>
      </c>
      <c r="F87" s="93"/>
      <c r="G87" s="93">
        <f>G85+(G36-G86)*$BA$1</f>
        <v>1184</v>
      </c>
      <c r="H87" s="93">
        <f>H85+(H36-H86)*$BA$1</f>
        <v>1230.5304984710244</v>
      </c>
      <c r="I87" s="93"/>
      <c r="J87" s="93">
        <f>J85+(J36-J86)*$BA$1</f>
        <v>1169.4695015289756</v>
      </c>
      <c r="K87" s="93"/>
      <c r="L87" s="93">
        <f>L85+(L36-L86)*$BA$1</f>
        <v>1230.5304984710244</v>
      </c>
      <c r="M87" s="93"/>
      <c r="N87" s="93">
        <f>N85+(N36-N86)*$BA$1</f>
        <v>1169.4695015289756</v>
      </c>
      <c r="O87" s="93">
        <f>O85+(O36-O86)*$BA$1</f>
        <v>1185.4695015289756</v>
      </c>
      <c r="P87" s="93"/>
      <c r="Q87" s="93">
        <f>Q85+(Q36-Q86)*$BA$1</f>
        <v>1153.4695015289756</v>
      </c>
      <c r="R87" s="93">
        <f>R85+(R36-R86)*$BA$1</f>
        <v>1214.5304984710244</v>
      </c>
      <c r="S87" s="93"/>
      <c r="T87" s="93">
        <f>T85+(T36-T86)*$BA$1</f>
        <v>1246.5304984710244</v>
      </c>
      <c r="U87" s="93" t="e">
        <f>U85+(U36-U86)*$BA$1</f>
        <v>#N/A</v>
      </c>
      <c r="V87" s="93"/>
      <c r="W87" s="93" t="e">
        <f>W85+(W36-W86)*$BA$1</f>
        <v>#N/A</v>
      </c>
      <c r="X87" s="93" t="e">
        <f>X85+(X36-X86)*$BA$1</f>
        <v>#N/A</v>
      </c>
      <c r="Y87" s="93"/>
      <c r="Z87" s="93" t="e">
        <f>Z85+(Z36-Z86)*$BA$1</f>
        <v>#N/A</v>
      </c>
      <c r="AA87" s="93" t="e">
        <f>AA85+(AA36-AA86)*$BA$1</f>
        <v>#N/A</v>
      </c>
      <c r="AB87" s="93"/>
      <c r="AC87" s="93" t="e">
        <f>AC85+(AC36-AC86)*$BA$1</f>
        <v>#N/A</v>
      </c>
      <c r="AD87" s="93" t="e">
        <f>AD85+(AD36-AD86)*$BA$1</f>
        <v>#N/A</v>
      </c>
      <c r="AE87" s="93"/>
      <c r="AF87" s="93" t="e">
        <f>AF85+(AF36-AF86)*$BA$1</f>
        <v>#N/A</v>
      </c>
      <c r="AG87" s="94"/>
      <c r="AH87" s="95"/>
      <c r="AI87" s="95"/>
      <c r="AJ87" s="95"/>
      <c r="AK87" s="95"/>
      <c r="AL87" s="95"/>
      <c r="AM87" s="95"/>
      <c r="AN87" s="95"/>
      <c r="AO87" s="96"/>
      <c r="AP87" s="96"/>
      <c r="AQ87" s="96"/>
      <c r="AR87" s="96"/>
      <c r="AW87" s="98"/>
      <c r="BB87" s="98"/>
      <c r="BE87" s="98"/>
      <c r="BH87" s="98"/>
      <c r="BK87" s="98"/>
      <c r="BN87" s="98"/>
      <c r="BQ87" s="98"/>
      <c r="BT87" s="98"/>
      <c r="BW87" s="98"/>
      <c r="BZ87" s="98"/>
      <c r="CC87" s="98"/>
    </row>
    <row r="88" spans="1:81" s="97" customFormat="1" hidden="1" x14ac:dyDescent="0.2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4"/>
      <c r="AH88" s="95"/>
      <c r="AI88" s="95"/>
      <c r="AJ88" s="95"/>
      <c r="AK88" s="95"/>
      <c r="AL88" s="95"/>
      <c r="AM88" s="95"/>
      <c r="AN88" s="95"/>
      <c r="AO88" s="96"/>
      <c r="AP88" s="96"/>
      <c r="AQ88" s="96"/>
      <c r="AR88" s="96"/>
      <c r="AW88" s="98"/>
      <c r="BB88" s="98"/>
      <c r="BE88" s="98"/>
      <c r="BH88" s="98"/>
      <c r="BK88" s="98"/>
      <c r="BN88" s="98"/>
      <c r="BQ88" s="98"/>
      <c r="BT88" s="98"/>
      <c r="BW88" s="98"/>
      <c r="BZ88" s="98"/>
      <c r="CC88" s="98"/>
    </row>
    <row r="89" spans="1:81" s="81" customFormat="1" x14ac:dyDescent="0.25">
      <c r="A89" s="308" t="str">
        <f>IF($AL10=1,"Pool Tiereaker : 1) Matches Won vs Lost (if 3 way tie then #4)  2) Head to Head  3) Game Win %  4) Total Pool Net Points  5) Flip a Coin","Pool Tiebreaker : 1) Games Won vs Lost (if 3 way tie then #5)  2) Head to Head  3) Head to Head Net Points  4) Game Win %  5) Total Pool Net Points  6) Flip a Coin")</f>
        <v>Pool Tiereaker : 1) Matches Won vs Lost (if 3 way tie then #4)  2) Head to Head  3) Game Win %  4) Total Pool Net Points  5) Flip a Coin</v>
      </c>
      <c r="B89" s="308"/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9"/>
      <c r="AO89" s="309"/>
      <c r="AP89" s="309"/>
      <c r="AQ89" s="309"/>
    </row>
    <row r="90" spans="1:81" s="81" customFormat="1" ht="13.8" thickBot="1" x14ac:dyDescent="0.3">
      <c r="A90" s="310"/>
      <c r="B90" s="310"/>
      <c r="C90" s="310"/>
      <c r="D90" s="310"/>
      <c r="E90" s="310"/>
      <c r="F90" s="310"/>
      <c r="G90" s="310"/>
      <c r="H90" s="310"/>
      <c r="I90" s="310"/>
      <c r="J90" s="310"/>
      <c r="K90" s="310"/>
      <c r="L90" s="310"/>
      <c r="M90" s="310"/>
      <c r="N90" s="310"/>
      <c r="O90" s="310"/>
      <c r="P90" s="310"/>
      <c r="Q90" s="310"/>
      <c r="R90" s="310"/>
      <c r="S90" s="310"/>
      <c r="T90" s="310"/>
      <c r="U90" s="310"/>
      <c r="V90" s="310"/>
      <c r="W90" s="310"/>
      <c r="X90" s="310"/>
      <c r="Y90" s="310"/>
      <c r="Z90" s="310"/>
      <c r="AA90" s="310"/>
      <c r="AB90" s="310"/>
      <c r="AC90" s="310"/>
      <c r="AD90" s="310"/>
      <c r="AE90" s="310"/>
      <c r="AF90" s="310"/>
      <c r="AG90" s="310"/>
      <c r="AH90" s="310"/>
      <c r="AI90" s="310"/>
      <c r="AJ90" s="310"/>
      <c r="AK90" s="310"/>
      <c r="AL90" s="310"/>
      <c r="AM90" s="310"/>
      <c r="AN90" s="310"/>
      <c r="AO90" s="310"/>
      <c r="AP90" s="310"/>
      <c r="AQ90" s="310"/>
      <c r="AR90" s="310"/>
    </row>
    <row r="91" spans="1:81" ht="24" customHeight="1" thickBot="1" x14ac:dyDescent="0.3">
      <c r="A91" s="33" t="s">
        <v>22</v>
      </c>
      <c r="B91" s="34" t="s">
        <v>91</v>
      </c>
      <c r="C91" s="211" t="s">
        <v>24</v>
      </c>
      <c r="D91" s="212"/>
      <c r="E91" s="212"/>
      <c r="F91" s="212"/>
      <c r="G91" s="212"/>
      <c r="H91" s="213"/>
      <c r="I91" s="214">
        <v>2</v>
      </c>
      <c r="J91" s="215"/>
      <c r="K91" s="216" t="str">
        <f>"Pool "&amp;B91&amp;" - Round 1 - Court "&amp;I91</f>
        <v>Pool B - Round 1 - Court 2</v>
      </c>
      <c r="L91" s="217"/>
      <c r="M91" s="217"/>
      <c r="N91" s="217"/>
      <c r="O91" s="217"/>
      <c r="P91" s="217"/>
      <c r="Q91" s="217"/>
      <c r="R91" s="217"/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17"/>
      <c r="AG91" s="217"/>
      <c r="AH91" s="217"/>
      <c r="AI91" s="217"/>
      <c r="AJ91" s="218"/>
      <c r="AK91" s="11"/>
      <c r="AL91" s="11"/>
      <c r="AM91" s="11"/>
      <c r="AN91" s="11"/>
      <c r="AO91" s="11"/>
      <c r="AP91" s="11"/>
      <c r="AQ91" s="11"/>
      <c r="AR91" s="11"/>
    </row>
    <row r="92" spans="1:81" ht="27" customHeight="1" thickBot="1" x14ac:dyDescent="0.3">
      <c r="A92" s="35" t="s">
        <v>25</v>
      </c>
      <c r="B92" s="183" t="s">
        <v>8</v>
      </c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183" t="str">
        <f>IF($AL95=0,"Games Won","Matches Won")</f>
        <v>Matches Won</v>
      </c>
      <c r="N92" s="219"/>
      <c r="O92" s="219"/>
      <c r="P92" s="219"/>
      <c r="Q92" s="219"/>
      <c r="R92" s="220"/>
      <c r="S92" s="183" t="str">
        <f>IF($AL95=0,"Games Lost","Matches Lost")</f>
        <v>Matches Lost</v>
      </c>
      <c r="T92" s="221"/>
      <c r="U92" s="221"/>
      <c r="V92" s="221"/>
      <c r="W92" s="222"/>
      <c r="X92" s="223" t="s">
        <v>26</v>
      </c>
      <c r="Y92" s="224"/>
      <c r="Z92" s="225"/>
      <c r="AA92" s="223" t="s">
        <v>27</v>
      </c>
      <c r="AB92" s="224"/>
      <c r="AC92" s="225"/>
      <c r="AD92" s="226" t="s">
        <v>28</v>
      </c>
      <c r="AE92" s="227"/>
      <c r="AF92" s="228"/>
      <c r="AG92" s="36" t="s">
        <v>29</v>
      </c>
      <c r="AH92" s="37" t="s">
        <v>7</v>
      </c>
      <c r="AI92" s="229" t="s">
        <v>30</v>
      </c>
      <c r="AJ92" s="230"/>
      <c r="AK92" s="38"/>
      <c r="AL92" s="39">
        <v>1</v>
      </c>
      <c r="AM92" s="40" t="s">
        <v>31</v>
      </c>
      <c r="AN92" s="40"/>
      <c r="AO92" s="40"/>
      <c r="AP92" s="40"/>
      <c r="AQ92" s="40"/>
      <c r="AR92" s="40"/>
      <c r="AS92" s="41"/>
    </row>
    <row r="93" spans="1:81" ht="18.75" customHeight="1" x14ac:dyDescent="0.25">
      <c r="A93" s="231" t="str">
        <f>IF($AL94&gt;0,"1","")</f>
        <v>1</v>
      </c>
      <c r="B93" s="233" t="s">
        <v>8</v>
      </c>
      <c r="C93" s="234"/>
      <c r="D93" s="235"/>
      <c r="E93" s="236" t="str">
        <f>AU4</f>
        <v>Intense Kids power Gvl</v>
      </c>
      <c r="F93" s="237"/>
      <c r="G93" s="237"/>
      <c r="H93" s="237"/>
      <c r="I93" s="237"/>
      <c r="J93" s="237"/>
      <c r="K93" s="237"/>
      <c r="L93" s="238"/>
      <c r="M93" s="239">
        <f>IF($AL95=0,AG149,AG131)</f>
        <v>3</v>
      </c>
      <c r="N93" s="240"/>
      <c r="O93" s="240"/>
      <c r="P93" s="240"/>
      <c r="Q93" s="240"/>
      <c r="R93" s="220"/>
      <c r="S93" s="239">
        <f>IF($AL95=0,AH149,AH131)</f>
        <v>1</v>
      </c>
      <c r="T93" s="240"/>
      <c r="U93" s="240"/>
      <c r="V93" s="240"/>
      <c r="W93" s="240"/>
      <c r="X93" s="239">
        <f>AR109</f>
        <v>29</v>
      </c>
      <c r="Y93" s="240"/>
      <c r="Z93" s="240"/>
      <c r="AA93" s="243">
        <f>IF(AG143&gt;0,(AR109/AG143),0)</f>
        <v>0.30526315789473685</v>
      </c>
      <c r="AB93" s="244"/>
      <c r="AC93" s="244"/>
      <c r="AD93" s="247">
        <f>IF(AG157=0,0,(AG149/AG157))</f>
        <v>0.75</v>
      </c>
      <c r="AE93" s="248"/>
      <c r="AF93" s="249"/>
      <c r="AG93" s="253">
        <v>1</v>
      </c>
      <c r="AH93" s="253">
        <v>4</v>
      </c>
      <c r="AI93" s="255"/>
      <c r="AJ93" s="256"/>
      <c r="AK93" s="38"/>
      <c r="AL93" s="39">
        <v>6</v>
      </c>
      <c r="AM93" s="40" t="s">
        <v>32</v>
      </c>
      <c r="AN93" s="40"/>
      <c r="AO93" s="40"/>
      <c r="AP93" s="40"/>
      <c r="AQ93" s="40"/>
      <c r="AR93" s="40"/>
      <c r="AS93" s="41"/>
    </row>
    <row r="94" spans="1:81" ht="18.75" customHeight="1" thickBot="1" x14ac:dyDescent="0.3">
      <c r="A94" s="232"/>
      <c r="B94" s="263" t="s">
        <v>9</v>
      </c>
      <c r="C94" s="264"/>
      <c r="D94" s="265"/>
      <c r="E94" s="261" t="str">
        <f>AV4</f>
        <v>fj2inten2pm</v>
      </c>
      <c r="F94" s="262"/>
      <c r="G94" s="262"/>
      <c r="H94" s="262"/>
      <c r="I94" s="262"/>
      <c r="J94" s="262"/>
      <c r="K94" s="262"/>
      <c r="L94" s="262"/>
      <c r="M94" s="241"/>
      <c r="N94" s="242"/>
      <c r="O94" s="242"/>
      <c r="P94" s="242"/>
      <c r="Q94" s="242"/>
      <c r="R94" s="220"/>
      <c r="S94" s="241"/>
      <c r="T94" s="242"/>
      <c r="U94" s="242"/>
      <c r="V94" s="242"/>
      <c r="W94" s="242"/>
      <c r="X94" s="241"/>
      <c r="Y94" s="242"/>
      <c r="Z94" s="242"/>
      <c r="AA94" s="245"/>
      <c r="AB94" s="246"/>
      <c r="AC94" s="246"/>
      <c r="AD94" s="250"/>
      <c r="AE94" s="251"/>
      <c r="AF94" s="252"/>
      <c r="AG94" s="254"/>
      <c r="AH94" s="254"/>
      <c r="AI94" s="257"/>
      <c r="AJ94" s="258"/>
      <c r="AK94" s="38"/>
      <c r="AL94" s="39">
        <v>3</v>
      </c>
      <c r="AM94" s="40" t="s">
        <v>33</v>
      </c>
      <c r="AN94" s="38"/>
      <c r="AO94" s="38"/>
      <c r="AP94" s="38"/>
      <c r="AQ94" s="38"/>
      <c r="AR94" s="38"/>
      <c r="AS94" s="3"/>
    </row>
    <row r="95" spans="1:81" ht="18.75" customHeight="1" x14ac:dyDescent="0.25">
      <c r="A95" s="231" t="str">
        <f>IF($AL94&gt;1,"2","")</f>
        <v>2</v>
      </c>
      <c r="B95" s="233" t="s">
        <v>8</v>
      </c>
      <c r="C95" s="234"/>
      <c r="D95" s="235"/>
      <c r="E95" s="236" t="str">
        <f>AU5</f>
        <v>SC Midlands KP Black</v>
      </c>
      <c r="F95" s="237"/>
      <c r="G95" s="237"/>
      <c r="H95" s="237"/>
      <c r="I95" s="237"/>
      <c r="J95" s="237"/>
      <c r="K95" s="237"/>
      <c r="L95" s="238"/>
      <c r="M95" s="239">
        <f>IF($AL95=0,AG150,AG132)</f>
        <v>3</v>
      </c>
      <c r="N95" s="240"/>
      <c r="O95" s="240"/>
      <c r="P95" s="240"/>
      <c r="Q95" s="240"/>
      <c r="R95" s="220"/>
      <c r="S95" s="239">
        <f>IF($AL95=0,AH150,AH132)</f>
        <v>1</v>
      </c>
      <c r="T95" s="240"/>
      <c r="U95" s="240"/>
      <c r="V95" s="240"/>
      <c r="W95" s="240"/>
      <c r="X95" s="239">
        <f>AR110</f>
        <v>14</v>
      </c>
      <c r="Y95" s="240"/>
      <c r="Z95" s="240"/>
      <c r="AA95" s="243">
        <f>IF(AG144&gt;0,(AR110/AG144),0)</f>
        <v>0.16091954022988506</v>
      </c>
      <c r="AB95" s="244"/>
      <c r="AC95" s="244"/>
      <c r="AD95" s="247">
        <f>IF(AG158=0,0,(AG150/AG158))</f>
        <v>0.75</v>
      </c>
      <c r="AE95" s="248"/>
      <c r="AF95" s="249"/>
      <c r="AG95" s="253">
        <v>2</v>
      </c>
      <c r="AH95" s="253">
        <v>4</v>
      </c>
      <c r="AI95" s="255"/>
      <c r="AJ95" s="256"/>
      <c r="AK95" s="38"/>
      <c r="AL95" s="39">
        <v>1</v>
      </c>
      <c r="AM95" s="40" t="s">
        <v>34</v>
      </c>
      <c r="AN95" s="40"/>
      <c r="AO95" s="40"/>
      <c r="AP95" s="40"/>
      <c r="AQ95" s="40"/>
      <c r="AR95" s="40"/>
      <c r="AS95" s="41"/>
    </row>
    <row r="96" spans="1:81" ht="18.75" customHeight="1" thickBot="1" x14ac:dyDescent="0.3">
      <c r="A96" s="232"/>
      <c r="B96" s="259" t="s">
        <v>9</v>
      </c>
      <c r="C96" s="260"/>
      <c r="D96" s="260"/>
      <c r="E96" s="261" t="str">
        <f>AV5</f>
        <v>fj1scmid1pm</v>
      </c>
      <c r="F96" s="262"/>
      <c r="G96" s="262"/>
      <c r="H96" s="262"/>
      <c r="I96" s="262"/>
      <c r="J96" s="262"/>
      <c r="K96" s="262"/>
      <c r="L96" s="262"/>
      <c r="M96" s="241"/>
      <c r="N96" s="242"/>
      <c r="O96" s="242"/>
      <c r="P96" s="242"/>
      <c r="Q96" s="242"/>
      <c r="R96" s="220"/>
      <c r="S96" s="241"/>
      <c r="T96" s="242"/>
      <c r="U96" s="242"/>
      <c r="V96" s="242"/>
      <c r="W96" s="242"/>
      <c r="X96" s="241"/>
      <c r="Y96" s="242"/>
      <c r="Z96" s="242"/>
      <c r="AA96" s="245"/>
      <c r="AB96" s="246"/>
      <c r="AC96" s="246"/>
      <c r="AD96" s="250"/>
      <c r="AE96" s="251"/>
      <c r="AF96" s="252"/>
      <c r="AG96" s="254"/>
      <c r="AH96" s="254"/>
      <c r="AI96" s="257"/>
      <c r="AJ96" s="258"/>
      <c r="AK96" s="38"/>
      <c r="AL96" s="39">
        <v>1</v>
      </c>
      <c r="AM96" s="40" t="s">
        <v>35</v>
      </c>
      <c r="AN96" s="38"/>
      <c r="AO96" s="38"/>
      <c r="AP96" s="38"/>
      <c r="AQ96" s="38"/>
      <c r="AR96" s="38"/>
      <c r="AS96" s="3"/>
    </row>
    <row r="97" spans="1:45" ht="18.75" customHeight="1" x14ac:dyDescent="0.25">
      <c r="A97" s="231" t="str">
        <f>IF($AL94&gt;2,"3","")</f>
        <v>3</v>
      </c>
      <c r="B97" s="266" t="s">
        <v>8</v>
      </c>
      <c r="C97" s="267"/>
      <c r="D97" s="267"/>
      <c r="E97" s="236" t="str">
        <f>AU8</f>
        <v>Columbia SC Starlings 12</v>
      </c>
      <c r="F97" s="237"/>
      <c r="G97" s="237"/>
      <c r="H97" s="237"/>
      <c r="I97" s="237"/>
      <c r="J97" s="237"/>
      <c r="K97" s="237"/>
      <c r="L97" s="238"/>
      <c r="M97" s="239">
        <f>IF($AL95=0,AG151,AG133)</f>
        <v>0</v>
      </c>
      <c r="N97" s="240"/>
      <c r="O97" s="240"/>
      <c r="P97" s="240"/>
      <c r="Q97" s="240"/>
      <c r="R97" s="220"/>
      <c r="S97" s="239">
        <f>IF($AL95=0,AH151,AH133)</f>
        <v>4</v>
      </c>
      <c r="T97" s="240"/>
      <c r="U97" s="240"/>
      <c r="V97" s="240"/>
      <c r="W97" s="240"/>
      <c r="X97" s="239">
        <f>AR111</f>
        <v>-43</v>
      </c>
      <c r="Y97" s="240"/>
      <c r="Z97" s="240"/>
      <c r="AA97" s="243">
        <f>IF(AG145&gt;0,(AR111/AG145),0)</f>
        <v>-0.4777777777777778</v>
      </c>
      <c r="AB97" s="244"/>
      <c r="AC97" s="244"/>
      <c r="AD97" s="247">
        <f>IF(AG159=0,0,(AG151/AG159))</f>
        <v>0</v>
      </c>
      <c r="AE97" s="248"/>
      <c r="AF97" s="249"/>
      <c r="AG97" s="253">
        <v>3</v>
      </c>
      <c r="AH97" s="253">
        <v>1</v>
      </c>
      <c r="AI97" s="255"/>
      <c r="AJ97" s="256"/>
      <c r="AK97" s="48"/>
      <c r="AL97" s="39">
        <v>4</v>
      </c>
      <c r="AM97" s="49" t="s">
        <v>36</v>
      </c>
      <c r="AN97" s="40"/>
      <c r="AO97" s="40"/>
      <c r="AP97" s="40"/>
      <c r="AQ97" s="40"/>
      <c r="AR97" s="40"/>
      <c r="AS97" s="41"/>
    </row>
    <row r="98" spans="1:45" ht="18.75" customHeight="1" thickBot="1" x14ac:dyDescent="0.3">
      <c r="A98" s="232"/>
      <c r="B98" s="259" t="s">
        <v>9</v>
      </c>
      <c r="C98" s="260"/>
      <c r="D98" s="260"/>
      <c r="E98" s="261" t="str">
        <f>AV8</f>
        <v>fj2starl1pm</v>
      </c>
      <c r="F98" s="262"/>
      <c r="G98" s="262"/>
      <c r="H98" s="262"/>
      <c r="I98" s="262"/>
      <c r="J98" s="262"/>
      <c r="K98" s="262"/>
      <c r="L98" s="262"/>
      <c r="M98" s="241"/>
      <c r="N98" s="242"/>
      <c r="O98" s="242"/>
      <c r="P98" s="242"/>
      <c r="Q98" s="242"/>
      <c r="R98" s="220"/>
      <c r="S98" s="241"/>
      <c r="T98" s="242"/>
      <c r="U98" s="242"/>
      <c r="V98" s="242"/>
      <c r="W98" s="242"/>
      <c r="X98" s="241"/>
      <c r="Y98" s="242"/>
      <c r="Z98" s="242"/>
      <c r="AA98" s="245"/>
      <c r="AB98" s="246"/>
      <c r="AC98" s="246"/>
      <c r="AD98" s="250"/>
      <c r="AE98" s="251"/>
      <c r="AF98" s="252"/>
      <c r="AG98" s="254"/>
      <c r="AH98" s="254"/>
      <c r="AI98" s="257"/>
      <c r="AJ98" s="258"/>
      <c r="AK98" s="48"/>
      <c r="AL98" s="56"/>
      <c r="AM98" s="57"/>
      <c r="AN98" s="57"/>
      <c r="AO98" s="57"/>
      <c r="AP98" s="57"/>
      <c r="AQ98" s="57"/>
      <c r="AR98" s="38"/>
      <c r="AS98" s="3"/>
    </row>
    <row r="99" spans="1:45" ht="18.75" customHeight="1" x14ac:dyDescent="0.25">
      <c r="A99" s="231" t="str">
        <f>IF($AL94&gt;3,"4","")</f>
        <v/>
      </c>
      <c r="B99" s="266" t="s">
        <v>8</v>
      </c>
      <c r="C99" s="267"/>
      <c r="D99" s="267"/>
      <c r="E99" s="236">
        <f>AU10</f>
        <v>0</v>
      </c>
      <c r="F99" s="237"/>
      <c r="G99" s="237"/>
      <c r="H99" s="237"/>
      <c r="I99" s="237"/>
      <c r="J99" s="237"/>
      <c r="K99" s="237"/>
      <c r="L99" s="238"/>
      <c r="M99" s="239">
        <f>IF($AL95=0,AG152,AG134)</f>
        <v>0</v>
      </c>
      <c r="N99" s="240"/>
      <c r="O99" s="240"/>
      <c r="P99" s="240"/>
      <c r="Q99" s="240"/>
      <c r="R99" s="220"/>
      <c r="S99" s="239">
        <f>IF($AL95=0,AH152,AH134)</f>
        <v>0</v>
      </c>
      <c r="T99" s="240"/>
      <c r="U99" s="240"/>
      <c r="V99" s="240"/>
      <c r="W99" s="240"/>
      <c r="X99" s="239">
        <f>AR112</f>
        <v>0</v>
      </c>
      <c r="Y99" s="240"/>
      <c r="Z99" s="240"/>
      <c r="AA99" s="243">
        <f>IF(AG146&gt;0,(AR112/AG146),0)</f>
        <v>0</v>
      </c>
      <c r="AB99" s="244"/>
      <c r="AC99" s="244"/>
      <c r="AD99" s="247">
        <f>IF(AG160=0,0,(AG152/AG160))</f>
        <v>0</v>
      </c>
      <c r="AE99" s="248"/>
      <c r="AF99" s="249"/>
      <c r="AG99" s="253"/>
      <c r="AH99" s="253"/>
      <c r="AI99" s="255"/>
      <c r="AJ99" s="256"/>
      <c r="AK99" s="11"/>
      <c r="AL99" s="57"/>
      <c r="AM99" s="57"/>
      <c r="AN99" s="57"/>
      <c r="AO99" s="57"/>
      <c r="AP99" s="57"/>
      <c r="AQ99" s="57"/>
      <c r="AR99" s="40"/>
      <c r="AS99" s="41"/>
    </row>
    <row r="100" spans="1:45" ht="18.75" customHeight="1" thickBot="1" x14ac:dyDescent="0.3">
      <c r="A100" s="232"/>
      <c r="B100" s="259" t="s">
        <v>9</v>
      </c>
      <c r="C100" s="260"/>
      <c r="D100" s="260"/>
      <c r="E100" s="261">
        <f>AV10</f>
        <v>0</v>
      </c>
      <c r="F100" s="262"/>
      <c r="G100" s="262"/>
      <c r="H100" s="262"/>
      <c r="I100" s="262"/>
      <c r="J100" s="262"/>
      <c r="K100" s="262"/>
      <c r="L100" s="262"/>
      <c r="M100" s="241"/>
      <c r="N100" s="242"/>
      <c r="O100" s="242"/>
      <c r="P100" s="242"/>
      <c r="Q100" s="242"/>
      <c r="R100" s="220"/>
      <c r="S100" s="241"/>
      <c r="T100" s="242"/>
      <c r="U100" s="242"/>
      <c r="V100" s="242"/>
      <c r="W100" s="242"/>
      <c r="X100" s="241"/>
      <c r="Y100" s="242"/>
      <c r="Z100" s="242"/>
      <c r="AA100" s="245"/>
      <c r="AB100" s="246"/>
      <c r="AC100" s="246"/>
      <c r="AD100" s="250"/>
      <c r="AE100" s="251"/>
      <c r="AF100" s="252"/>
      <c r="AG100" s="254"/>
      <c r="AH100" s="254"/>
      <c r="AI100" s="257"/>
      <c r="AJ100" s="258"/>
      <c r="AK100" s="11"/>
      <c r="AL100" s="57"/>
      <c r="AM100" s="57"/>
      <c r="AN100" s="57"/>
      <c r="AO100" s="57"/>
      <c r="AP100" s="57"/>
      <c r="AQ100" s="57"/>
      <c r="AR100" s="11"/>
      <c r="AS100" s="3"/>
    </row>
    <row r="101" spans="1:45" ht="18.75" customHeight="1" x14ac:dyDescent="0.25">
      <c r="A101" s="231" t="str">
        <f>IF($AL94&gt;4,"5","")</f>
        <v/>
      </c>
      <c r="B101" s="266" t="s">
        <v>8</v>
      </c>
      <c r="C101" s="267"/>
      <c r="D101" s="267"/>
      <c r="E101" s="236">
        <f>AU12</f>
        <v>0</v>
      </c>
      <c r="F101" s="237"/>
      <c r="G101" s="237"/>
      <c r="H101" s="237"/>
      <c r="I101" s="237"/>
      <c r="J101" s="237"/>
      <c r="K101" s="237"/>
      <c r="L101" s="238"/>
      <c r="M101" s="239">
        <f>IF($AL95=0,AG153,AG135)</f>
        <v>0</v>
      </c>
      <c r="N101" s="240"/>
      <c r="O101" s="240"/>
      <c r="P101" s="240"/>
      <c r="Q101" s="240"/>
      <c r="R101" s="220"/>
      <c r="S101" s="239">
        <f>IF($AL95=0,AH153,AH135)</f>
        <v>0</v>
      </c>
      <c r="T101" s="240"/>
      <c r="U101" s="240"/>
      <c r="V101" s="240"/>
      <c r="W101" s="240"/>
      <c r="X101" s="239">
        <f>AR113</f>
        <v>0</v>
      </c>
      <c r="Y101" s="240"/>
      <c r="Z101" s="240"/>
      <c r="AA101" s="243">
        <f>IF(AG147&gt;0,(AR113/AG147),0)</f>
        <v>0</v>
      </c>
      <c r="AB101" s="244"/>
      <c r="AC101" s="244"/>
      <c r="AD101" s="247">
        <f>IF(AG161=0,0,(AG153/AG161))</f>
        <v>0</v>
      </c>
      <c r="AE101" s="248"/>
      <c r="AF101" s="249"/>
      <c r="AG101" s="253"/>
      <c r="AH101" s="253"/>
      <c r="AI101" s="255"/>
      <c r="AJ101" s="256"/>
      <c r="AK101" s="11"/>
      <c r="AL101" s="57"/>
      <c r="AM101" s="57"/>
      <c r="AN101" s="57"/>
      <c r="AO101" s="57"/>
      <c r="AP101" s="57"/>
      <c r="AQ101" s="57"/>
      <c r="AR101" s="11"/>
      <c r="AS101" s="3"/>
    </row>
    <row r="102" spans="1:45" ht="18.75" customHeight="1" thickBot="1" x14ac:dyDescent="0.3">
      <c r="A102" s="232"/>
      <c r="B102" s="277" t="s">
        <v>9</v>
      </c>
      <c r="C102" s="278"/>
      <c r="D102" s="278"/>
      <c r="E102" s="279">
        <f>AV12</f>
        <v>0</v>
      </c>
      <c r="F102" s="280"/>
      <c r="G102" s="280"/>
      <c r="H102" s="280"/>
      <c r="I102" s="280"/>
      <c r="J102" s="280"/>
      <c r="K102" s="280"/>
      <c r="L102" s="280"/>
      <c r="M102" s="268"/>
      <c r="N102" s="269"/>
      <c r="O102" s="269"/>
      <c r="P102" s="269"/>
      <c r="Q102" s="269"/>
      <c r="R102" s="220"/>
      <c r="S102" s="241"/>
      <c r="T102" s="242"/>
      <c r="U102" s="242"/>
      <c r="V102" s="242"/>
      <c r="W102" s="242"/>
      <c r="X102" s="241"/>
      <c r="Y102" s="242"/>
      <c r="Z102" s="242"/>
      <c r="AA102" s="245"/>
      <c r="AB102" s="246"/>
      <c r="AC102" s="246"/>
      <c r="AD102" s="250"/>
      <c r="AE102" s="251"/>
      <c r="AF102" s="252"/>
      <c r="AG102" s="254"/>
      <c r="AH102" s="276"/>
      <c r="AI102" s="257"/>
      <c r="AJ102" s="258"/>
      <c r="AK102" s="11"/>
      <c r="AL102" s="57"/>
      <c r="AM102" s="57"/>
      <c r="AN102" s="57"/>
      <c r="AO102" s="57"/>
      <c r="AP102" s="57"/>
      <c r="AQ102" s="57"/>
      <c r="AR102" s="11"/>
      <c r="AS102" s="3"/>
    </row>
    <row r="103" spans="1:45" ht="21" customHeight="1" thickTop="1" thickBot="1" x14ac:dyDescent="0.3">
      <c r="A103" s="59"/>
      <c r="B103" s="281" t="s">
        <v>38</v>
      </c>
      <c r="C103" s="282"/>
      <c r="D103" s="282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  <c r="W103" s="282"/>
      <c r="X103" s="282"/>
      <c r="Y103" s="282"/>
      <c r="Z103" s="282"/>
      <c r="AA103" s="282"/>
      <c r="AB103" s="282"/>
      <c r="AC103" s="282"/>
      <c r="AD103" s="282"/>
      <c r="AE103" s="282"/>
      <c r="AF103" s="282"/>
      <c r="AG103" s="282"/>
      <c r="AH103" s="282"/>
      <c r="AI103" s="282"/>
      <c r="AJ103" s="283"/>
      <c r="AK103" s="11"/>
      <c r="AL103" s="57"/>
      <c r="AM103" s="57"/>
      <c r="AN103" s="57"/>
      <c r="AO103" s="57"/>
      <c r="AP103" s="57"/>
      <c r="AQ103" s="57"/>
      <c r="AR103" s="11"/>
      <c r="AS103" s="3"/>
    </row>
    <row r="104" spans="1:45" ht="13.5" customHeight="1" thickTop="1" x14ac:dyDescent="0.25">
      <c r="A104" t="s">
        <v>39</v>
      </c>
      <c r="B104" s="284">
        <v>0.35416666666666669</v>
      </c>
      <c r="C104" s="285"/>
      <c r="D104" s="286"/>
      <c r="E104" s="284">
        <v>0.39583333333333331</v>
      </c>
      <c r="F104" s="285"/>
      <c r="G104" s="286"/>
      <c r="H104" s="284">
        <v>0.4375</v>
      </c>
      <c r="I104" s="285"/>
      <c r="J104" s="286"/>
      <c r="K104" s="311" t="s">
        <v>92</v>
      </c>
      <c r="L104" s="284">
        <v>0.5</v>
      </c>
      <c r="M104" s="285"/>
      <c r="N104" s="286"/>
      <c r="O104" s="284">
        <v>4.1666666666666664E-2</v>
      </c>
      <c r="P104" s="285"/>
      <c r="Q104" s="286"/>
      <c r="R104" s="284">
        <v>8.3333333333333329E-2</v>
      </c>
      <c r="S104" s="285"/>
      <c r="T104" s="286"/>
      <c r="U104" s="284">
        <v>4.1666666666666664E-2</v>
      </c>
      <c r="V104" s="285"/>
      <c r="W104" s="286"/>
      <c r="X104" s="284">
        <v>7.2916666666666671E-2</v>
      </c>
      <c r="Y104" s="285"/>
      <c r="Z104" s="286"/>
      <c r="AA104" s="284">
        <v>0.10416666666666667</v>
      </c>
      <c r="AB104" s="285"/>
      <c r="AC104" s="286"/>
      <c r="AD104" s="284">
        <v>0.13541666666666666</v>
      </c>
      <c r="AE104" s="285"/>
      <c r="AF104" s="286"/>
      <c r="AG104" s="290" t="s">
        <v>40</v>
      </c>
      <c r="AH104" s="291"/>
      <c r="AI104" s="291"/>
      <c r="AJ104" s="291"/>
      <c r="AK104" s="292"/>
      <c r="AL104" s="292"/>
      <c r="AM104" s="292"/>
      <c r="AN104" s="292"/>
      <c r="AO104" s="292"/>
      <c r="AP104" s="292"/>
      <c r="AQ104" s="292"/>
      <c r="AR104" s="293"/>
    </row>
    <row r="105" spans="1:45" x14ac:dyDescent="0.25">
      <c r="A105" s="60" t="s">
        <v>41</v>
      </c>
      <c r="B105" s="298"/>
      <c r="C105" s="299"/>
      <c r="D105" s="300"/>
      <c r="E105" s="298"/>
      <c r="F105" s="299"/>
      <c r="G105" s="300"/>
      <c r="H105" s="298"/>
      <c r="I105" s="299"/>
      <c r="J105" s="300"/>
      <c r="K105" s="312"/>
      <c r="L105" s="298"/>
      <c r="M105" s="299"/>
      <c r="N105" s="300"/>
      <c r="O105" s="298"/>
      <c r="P105" s="299"/>
      <c r="Q105" s="300"/>
      <c r="R105" s="298"/>
      <c r="S105" s="299"/>
      <c r="T105" s="300"/>
      <c r="U105" s="298"/>
      <c r="V105" s="299"/>
      <c r="W105" s="300"/>
      <c r="X105" s="298"/>
      <c r="Y105" s="299"/>
      <c r="Z105" s="300"/>
      <c r="AA105" s="298"/>
      <c r="AB105" s="299"/>
      <c r="AC105" s="300"/>
      <c r="AD105" s="298"/>
      <c r="AE105" s="299"/>
      <c r="AF105" s="300"/>
      <c r="AG105" s="290"/>
      <c r="AH105" s="291"/>
      <c r="AI105" s="291"/>
      <c r="AJ105" s="291"/>
      <c r="AK105" s="291"/>
      <c r="AL105" s="291"/>
      <c r="AM105" s="291"/>
      <c r="AN105" s="291"/>
      <c r="AO105" s="291"/>
      <c r="AP105" s="291"/>
      <c r="AQ105" s="291"/>
      <c r="AR105" s="294"/>
    </row>
    <row r="106" spans="1:45" x14ac:dyDescent="0.25">
      <c r="A106" s="60" t="s">
        <v>42</v>
      </c>
      <c r="B106" s="298"/>
      <c r="C106" s="299"/>
      <c r="D106" s="300"/>
      <c r="E106" s="298"/>
      <c r="F106" s="299"/>
      <c r="G106" s="300"/>
      <c r="H106" s="298"/>
      <c r="I106" s="299"/>
      <c r="J106" s="300"/>
      <c r="K106" s="312"/>
      <c r="L106" s="298"/>
      <c r="M106" s="299"/>
      <c r="N106" s="300"/>
      <c r="O106" s="298"/>
      <c r="P106" s="299"/>
      <c r="Q106" s="300"/>
      <c r="R106" s="298"/>
      <c r="S106" s="299"/>
      <c r="T106" s="300"/>
      <c r="U106" s="298"/>
      <c r="V106" s="299"/>
      <c r="W106" s="300"/>
      <c r="X106" s="298"/>
      <c r="Y106" s="299"/>
      <c r="Z106" s="300"/>
      <c r="AA106" s="298"/>
      <c r="AB106" s="299"/>
      <c r="AC106" s="300"/>
      <c r="AD106" s="298"/>
      <c r="AE106" s="299"/>
      <c r="AF106" s="300"/>
      <c r="AG106" s="290"/>
      <c r="AH106" s="291"/>
      <c r="AI106" s="291"/>
      <c r="AJ106" s="291"/>
      <c r="AK106" s="291"/>
      <c r="AL106" s="291"/>
      <c r="AM106" s="291"/>
      <c r="AN106" s="291"/>
      <c r="AO106" s="291"/>
      <c r="AP106" s="291"/>
      <c r="AQ106" s="291"/>
      <c r="AR106" s="294"/>
    </row>
    <row r="107" spans="1:45" ht="13.8" thickBot="1" x14ac:dyDescent="0.3">
      <c r="A107" s="11"/>
      <c r="B107" s="301" t="s">
        <v>43</v>
      </c>
      <c r="C107" s="302"/>
      <c r="D107" s="303"/>
      <c r="E107" s="301" t="str">
        <f>IF(AL93&gt;1,"Match 2","")</f>
        <v>Match 2</v>
      </c>
      <c r="F107" s="302"/>
      <c r="G107" s="303"/>
      <c r="H107" s="301" t="str">
        <f>IF(AL93&gt;2,"Match 3","")</f>
        <v>Match 3</v>
      </c>
      <c r="I107" s="302"/>
      <c r="J107" s="303"/>
      <c r="K107" s="312"/>
      <c r="L107" s="301" t="str">
        <f>IF(AL93&gt;3,"Match 4","")</f>
        <v>Match 4</v>
      </c>
      <c r="M107" s="302"/>
      <c r="N107" s="303"/>
      <c r="O107" s="301" t="str">
        <f>IF(AL93&gt;4,"Match 5","")</f>
        <v>Match 5</v>
      </c>
      <c r="P107" s="302"/>
      <c r="Q107" s="303"/>
      <c r="R107" s="301" t="str">
        <f>IF(AL93&gt;5,"Match 6","")</f>
        <v>Match 6</v>
      </c>
      <c r="S107" s="302"/>
      <c r="T107" s="303"/>
      <c r="U107" s="301" t="str">
        <f>IF(AL93&gt;6,"Match 7","")</f>
        <v/>
      </c>
      <c r="V107" s="302"/>
      <c r="W107" s="303"/>
      <c r="X107" s="301" t="str">
        <f>IF(AL93&gt;7,"Match 8","")</f>
        <v/>
      </c>
      <c r="Y107" s="302"/>
      <c r="Z107" s="303"/>
      <c r="AA107" s="301" t="str">
        <f>IF(AL93&gt;8,"Match 9","")</f>
        <v/>
      </c>
      <c r="AB107" s="302"/>
      <c r="AC107" s="303"/>
      <c r="AD107" s="301" t="str">
        <f>IF(AL93&gt;9,"Match 10","")</f>
        <v/>
      </c>
      <c r="AE107" s="302"/>
      <c r="AF107" s="303"/>
      <c r="AG107" s="295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7"/>
    </row>
    <row r="108" spans="1:45" ht="15.6" x14ac:dyDescent="0.3">
      <c r="A108" s="11"/>
      <c r="B108" s="304" t="s">
        <v>46</v>
      </c>
      <c r="C108" s="305"/>
      <c r="D108" s="306"/>
      <c r="E108" s="304" t="s">
        <v>44</v>
      </c>
      <c r="F108" s="305"/>
      <c r="G108" s="306"/>
      <c r="H108" s="304" t="s">
        <v>45</v>
      </c>
      <c r="I108" s="305"/>
      <c r="J108" s="306"/>
      <c r="K108" s="312"/>
      <c r="L108" s="304" t="s">
        <v>46</v>
      </c>
      <c r="M108" s="305"/>
      <c r="N108" s="306"/>
      <c r="O108" s="304" t="s">
        <v>44</v>
      </c>
      <c r="P108" s="305"/>
      <c r="Q108" s="306"/>
      <c r="R108" s="304" t="s">
        <v>45</v>
      </c>
      <c r="S108" s="305"/>
      <c r="T108" s="306"/>
      <c r="U108" s="304" t="s">
        <v>47</v>
      </c>
      <c r="V108" s="305"/>
      <c r="W108" s="306"/>
      <c r="X108" s="304" t="s">
        <v>45</v>
      </c>
      <c r="Y108" s="305"/>
      <c r="Z108" s="306"/>
      <c r="AA108" s="304" t="s">
        <v>93</v>
      </c>
      <c r="AB108" s="305"/>
      <c r="AC108" s="306"/>
      <c r="AD108" s="304" t="s">
        <v>46</v>
      </c>
      <c r="AE108" s="305"/>
      <c r="AF108" s="306"/>
      <c r="AG108" s="61" t="s">
        <v>48</v>
      </c>
      <c r="AH108" s="62">
        <v>1</v>
      </c>
      <c r="AI108" s="62">
        <v>2</v>
      </c>
      <c r="AJ108" s="62">
        <v>3</v>
      </c>
      <c r="AK108" s="62">
        <v>4</v>
      </c>
      <c r="AL108" s="62">
        <v>5</v>
      </c>
      <c r="AM108" s="62">
        <v>6</v>
      </c>
      <c r="AN108" s="62">
        <v>7</v>
      </c>
      <c r="AO108" s="62">
        <v>8</v>
      </c>
      <c r="AP108" s="62">
        <v>9</v>
      </c>
      <c r="AQ108" s="62">
        <v>10</v>
      </c>
      <c r="AR108" s="63" t="s">
        <v>49</v>
      </c>
    </row>
    <row r="109" spans="1:45" ht="15.6" x14ac:dyDescent="0.3">
      <c r="A109" s="11"/>
      <c r="B109" s="64">
        <v>1</v>
      </c>
      <c r="C109" s="65" t="s">
        <v>50</v>
      </c>
      <c r="D109" s="66">
        <v>3</v>
      </c>
      <c r="E109" s="64">
        <v>2</v>
      </c>
      <c r="F109" s="65" t="str">
        <f>IF(AL93&gt;1,"v","")</f>
        <v>v</v>
      </c>
      <c r="G109" s="66">
        <v>3</v>
      </c>
      <c r="H109" s="64">
        <v>1</v>
      </c>
      <c r="I109" s="65" t="str">
        <f>IF(AL93&gt;2,"v","")</f>
        <v>v</v>
      </c>
      <c r="J109" s="66">
        <v>2</v>
      </c>
      <c r="K109" s="312"/>
      <c r="L109" s="64">
        <v>1</v>
      </c>
      <c r="M109" s="65" t="str">
        <f>IF(AL93&gt;3,"v","")</f>
        <v>v</v>
      </c>
      <c r="N109" s="66">
        <v>3</v>
      </c>
      <c r="O109" s="64">
        <v>2</v>
      </c>
      <c r="P109" s="65" t="str">
        <f>IF(AL93&gt;4,"v","")</f>
        <v>v</v>
      </c>
      <c r="Q109" s="66">
        <v>3</v>
      </c>
      <c r="R109" s="64">
        <v>1</v>
      </c>
      <c r="S109" s="65" t="str">
        <f>IF(AL93&gt;5,"v","")</f>
        <v>v</v>
      </c>
      <c r="T109" s="66">
        <v>2</v>
      </c>
      <c r="U109" s="64">
        <v>2</v>
      </c>
      <c r="V109" s="65" t="str">
        <f>IF(AL93&gt;6,"v","")</f>
        <v/>
      </c>
      <c r="W109" s="66">
        <v>3</v>
      </c>
      <c r="X109" s="64">
        <v>1</v>
      </c>
      <c r="Y109" s="65" t="str">
        <f>IF(AL93&gt;7,"v","")</f>
        <v/>
      </c>
      <c r="Z109" s="66">
        <v>5</v>
      </c>
      <c r="AA109" s="64">
        <v>3</v>
      </c>
      <c r="AB109" s="65" t="str">
        <f>IF(AL93&gt;8,"v","")</f>
        <v/>
      </c>
      <c r="AC109" s="66">
        <v>4</v>
      </c>
      <c r="AD109" s="64">
        <v>1</v>
      </c>
      <c r="AE109" s="65" t="str">
        <f>IF(AL93&gt;9,"v","")</f>
        <v/>
      </c>
      <c r="AF109" s="66">
        <v>2</v>
      </c>
      <c r="AG109" s="67" t="str">
        <f>IF(AL94&gt;0,"Team 1","")</f>
        <v>Team 1</v>
      </c>
      <c r="AH109" s="68">
        <f>IF(AL94&lt;1,"",IF(AL93&lt;1,"",IF(B109=1,B115-D115,IF(D109=1,D115-B115,""))))</f>
        <v>16</v>
      </c>
      <c r="AI109" s="68" t="str">
        <f>IF(AL94&lt;1,"",IF(AL93&lt;2,"",IF(E109=1,E115-G115,IF(G109=1,G115-E115,""))))</f>
        <v/>
      </c>
      <c r="AJ109" s="68">
        <f>IF(AL94&lt;1,"",IF(AL93&lt;3,"",IF(H109=1,H115-J115,IF(J109=1,J115-H115,""))))</f>
        <v>-7</v>
      </c>
      <c r="AK109" s="68">
        <f>IF(AL94&lt;1,"",IF(AL93&lt;4,"",IF(L109=1,L115-N115,IF(N109=1,N115-L115,""))))</f>
        <v>12</v>
      </c>
      <c r="AL109" s="68" t="str">
        <f>IF(AL94&lt;1,"",IF(AL93&lt;5,"",IF(O109=1,O115-Q115,IF(Q109=1,Q115-O115,""))))</f>
        <v/>
      </c>
      <c r="AM109" s="68">
        <f>IF(AL94&lt;1,"",IF(AL93&lt;6,"",IF(R109=1,R115-T115,IF(T109=1,T115-R115,""))))</f>
        <v>8</v>
      </c>
      <c r="AN109" s="68" t="str">
        <f>IF(AL94&lt;1,"",IF(AL93&lt;7,"",IF(U109=1,U115-W115,IF(W109=1,W115-U115,""))))</f>
        <v/>
      </c>
      <c r="AO109" s="68" t="str">
        <f>IF(AL94&lt;1,"",IF(AL93&lt;8,"",IF(X109=1,X115-Z115,IF(Z109=1,Z115-X115,""))))</f>
        <v/>
      </c>
      <c r="AP109" s="68" t="str">
        <f>IF(AL94&lt;1,"",IF(AL93&lt;9,"",IF(AA109=1,AA115-AC115,IF(AC109=1,AC115-AA115,""))))</f>
        <v/>
      </c>
      <c r="AQ109" s="68" t="str">
        <f>IF(AL94&lt;1,"",IF(AL93&lt;10,"",IF(AD109=1,AD115-AF115,IF(AF109=1,AF115-AD115,""))))</f>
        <v/>
      </c>
      <c r="AR109" s="63">
        <f>SUM(AH109:AQ109)</f>
        <v>29</v>
      </c>
    </row>
    <row r="110" spans="1:45" ht="15" x14ac:dyDescent="0.25">
      <c r="A110" t="s">
        <v>51</v>
      </c>
      <c r="B110" s="69">
        <v>26</v>
      </c>
      <c r="C110" s="70" t="s">
        <v>52</v>
      </c>
      <c r="D110" s="71">
        <v>10</v>
      </c>
      <c r="E110" s="69">
        <v>21</v>
      </c>
      <c r="F110" s="70" t="str">
        <f>IF(AL93&gt;1,"/","")</f>
        <v>/</v>
      </c>
      <c r="G110" s="71">
        <v>12</v>
      </c>
      <c r="H110" s="69">
        <v>16</v>
      </c>
      <c r="I110" s="70" t="str">
        <f>IF(AL93&gt;2,"/","")</f>
        <v>/</v>
      </c>
      <c r="J110" s="71">
        <v>23</v>
      </c>
      <c r="K110" s="312"/>
      <c r="L110" s="69">
        <v>23</v>
      </c>
      <c r="M110" s="70" t="str">
        <f>IF(AL93&gt;3,"/","")</f>
        <v>/</v>
      </c>
      <c r="N110" s="71">
        <v>11</v>
      </c>
      <c r="O110" s="69">
        <v>20</v>
      </c>
      <c r="P110" s="70" t="str">
        <f>IF(AL93&gt;4,"/","")</f>
        <v>/</v>
      </c>
      <c r="Q110" s="71">
        <v>14</v>
      </c>
      <c r="R110" s="69">
        <v>23</v>
      </c>
      <c r="S110" s="70" t="str">
        <f>IF(AL93&gt;5,"/","")</f>
        <v>/</v>
      </c>
      <c r="T110" s="71">
        <v>15</v>
      </c>
      <c r="U110" s="69"/>
      <c r="V110" s="70" t="str">
        <f>IF(AL93&gt;6,"/","")</f>
        <v/>
      </c>
      <c r="W110" s="71"/>
      <c r="X110" s="69"/>
      <c r="Y110" s="70" t="str">
        <f>IF(AL93&gt;7,"/","")</f>
        <v/>
      </c>
      <c r="Z110" s="71"/>
      <c r="AA110" s="69"/>
      <c r="AB110" s="70" t="str">
        <f>IF(AL93&gt;8,"/","")</f>
        <v/>
      </c>
      <c r="AC110" s="71"/>
      <c r="AD110" s="69"/>
      <c r="AE110" s="70" t="str">
        <f>IF(AL93&gt;9,"/","")</f>
        <v/>
      </c>
      <c r="AF110" s="71"/>
      <c r="AG110" s="67" t="str">
        <f>IF(AL94&gt;1,"Team 2","")</f>
        <v>Team 2</v>
      </c>
      <c r="AH110" s="68" t="str">
        <f>IF(AL94&lt;2,"",IF(AL93&lt;1,"",IF(B109=2,B115-D115,IF(D109=2,D115-B115,""))))</f>
        <v/>
      </c>
      <c r="AI110" s="68">
        <f>IF(AL94&lt;2,"",IF(AL93&lt;2,"",IF(E109=2,E115-G115,IF(G109=2,G115-E115,""))))</f>
        <v>9</v>
      </c>
      <c r="AJ110" s="68">
        <f>IF(AL94&lt;2,"",IF(AL93&lt;3,"",IF(H109=2,H115-J115,IF(J109=2,J115-H115,""))))</f>
        <v>7</v>
      </c>
      <c r="AK110" s="68" t="str">
        <f>IF(AL94&lt;2,"",IF(AL93&lt;4,"",IF(L109=2,L115-N115,IF(N109=2,N115-L115,""))))</f>
        <v/>
      </c>
      <c r="AL110" s="68">
        <f>IF(AL94&lt;2,"",IF(AL93&lt;5,"",IF(O109=2,O115-Q115,IF(Q109=2,Q115-O115,""))))</f>
        <v>6</v>
      </c>
      <c r="AM110" s="68">
        <f>IF(AL94&lt;2,"",IF(AL93&lt;6,"",IF(R109=2,R115-T115,IF(T109=2,T115-R115,""))))</f>
        <v>-8</v>
      </c>
      <c r="AN110" s="68" t="str">
        <f>IF(AL94&lt;2,"",IF(AL93&lt;7,"",IF(U109=2,U115-W115,IF(W109=2,W115-U115,""))))</f>
        <v/>
      </c>
      <c r="AO110" s="68" t="str">
        <f>IF(AL94&lt;2,"",IF(AL93&lt;8,"",IF(X109=2,X115-Z115,IF(Z109=2,Z115-X115,""))))</f>
        <v/>
      </c>
      <c r="AP110" s="68" t="str">
        <f>IF(AL94&lt;2,"",IF(AL93&lt;9,"",IF(AA109=2,AA115-AC115,IF(AC109=2,AC115-AA115,""))))</f>
        <v/>
      </c>
      <c r="AQ110" s="68" t="str">
        <f>IF(AL94&lt;2,"",IF(AL93&lt;10,"",IF(AD109=2,AD115-AF115,IF(AF109=2,AF115-AD115,""))))</f>
        <v/>
      </c>
      <c r="AR110" s="63">
        <f>SUM(AH110:AQ110)</f>
        <v>14</v>
      </c>
    </row>
    <row r="111" spans="1:45" ht="15" x14ac:dyDescent="0.25">
      <c r="A111" s="3" t="str">
        <f>IF(AL92&gt;1,"Game 2","")</f>
        <v/>
      </c>
      <c r="B111" s="69"/>
      <c r="C111" s="70" t="s">
        <v>52</v>
      </c>
      <c r="D111" s="71"/>
      <c r="E111" s="69"/>
      <c r="F111" s="70" t="str">
        <f>IF(AL93&gt;1,IF(AL92&gt;1,"/",""),"")</f>
        <v/>
      </c>
      <c r="G111" s="71"/>
      <c r="H111" s="69"/>
      <c r="I111" s="70" t="str">
        <f>IF(AL93&gt;2,IF(AL92&gt;1,"/",""),"")</f>
        <v/>
      </c>
      <c r="J111" s="71"/>
      <c r="K111" s="312"/>
      <c r="L111" s="69"/>
      <c r="M111" s="70" t="str">
        <f>IF(AL93&gt;3,IF(AL92&gt;1,"/",""),"")</f>
        <v/>
      </c>
      <c r="N111" s="71"/>
      <c r="O111" s="69"/>
      <c r="P111" s="70" t="str">
        <f>IF(AL93&gt;4,IF(AL92&gt;1,"/",""),"")</f>
        <v/>
      </c>
      <c r="Q111" s="71"/>
      <c r="R111" s="69"/>
      <c r="S111" s="70" t="str">
        <f>IF(AL93&gt;5,IF(AL92&gt;1,"/",""),"")</f>
        <v/>
      </c>
      <c r="T111" s="71"/>
      <c r="U111" s="69"/>
      <c r="V111" s="70" t="str">
        <f>IF(AL93&gt;6,IF(AL92&gt;1,"/",""),"")</f>
        <v/>
      </c>
      <c r="W111" s="71"/>
      <c r="X111" s="69"/>
      <c r="Y111" s="70" t="str">
        <f>IF(AL93&gt;7,IF(AL92&gt;1,"/",""),"")</f>
        <v/>
      </c>
      <c r="Z111" s="71"/>
      <c r="AA111" s="69"/>
      <c r="AB111" s="70" t="str">
        <f>IF(AL93&gt;8,IF(AL92&gt;1,"/",""),"")</f>
        <v/>
      </c>
      <c r="AC111" s="71"/>
      <c r="AD111" s="69"/>
      <c r="AE111" s="70" t="str">
        <f>IF(AL93&gt;9,IF(AL92&gt;1,"/",""),"")</f>
        <v/>
      </c>
      <c r="AF111" s="71"/>
      <c r="AG111" s="67" t="str">
        <f>IF(AL94&gt;2,"Team 3","")</f>
        <v>Team 3</v>
      </c>
      <c r="AH111" s="68">
        <f>IF(AL94&lt;3,"",IF(AL93&lt;1,"",IF(B109=3,B115-D115,IF(D109=3,D115-B115,""))))</f>
        <v>-16</v>
      </c>
      <c r="AI111" s="68">
        <f>IF(AL94&lt;3,"",IF(AL93&lt;2,"",IF(E109=3,E115-G115,IF(G109=3,G115-E115,""))))</f>
        <v>-9</v>
      </c>
      <c r="AJ111" s="68" t="str">
        <f>IF(AL94&lt;3,"",IF(AL93&lt;3,"",IF(H109=3,H115-J115,IF(J109=3,J115-H115,""))))</f>
        <v/>
      </c>
      <c r="AK111" s="68">
        <f>IF(AL94&lt;3,"",IF(AL93&lt;4,"",IF(L109=3,L115-N115,IF(N109=3,N115-L115,""))))</f>
        <v>-12</v>
      </c>
      <c r="AL111" s="68">
        <f>IF(AL94&lt;3,"",IF(AL93&lt;5,"",IF(O109=3,O115-Q115,IF(Q109=3,Q115-O115,""))))</f>
        <v>-6</v>
      </c>
      <c r="AM111" s="68" t="str">
        <f>IF(AL94&lt;3,"",IF(AL93&lt;6,"",IF(R109=3,R115-T115,IF(T109=3,T115-R115,""))))</f>
        <v/>
      </c>
      <c r="AN111" s="68" t="str">
        <f>IF(AL94&lt;3,"",IF(AL93&lt;7,"",IF(U109=3,U115-W115,IF(W109=3,W115-U115,""))))</f>
        <v/>
      </c>
      <c r="AO111" s="68" t="str">
        <f>IF(AL94&lt;3,"",IF(AL93&lt;8,"",IF(X109=3,X115-Z115,IF(Z109=3,Z115-X115,""))))</f>
        <v/>
      </c>
      <c r="AP111" s="68" t="str">
        <f>IF(AL94&lt;3,"",IF(AL93&lt;9,"",IF(AA109=3,AA115-AC115,IF(AC109=3,AC115-AA115,""))))</f>
        <v/>
      </c>
      <c r="AQ111" s="68" t="str">
        <f>IF(AL94&lt;3,"",IF(AL93&lt;9,"",IF(AD109=3,AD115-AF115,IF(AF109=3,AF115-AD115,""))))</f>
        <v/>
      </c>
      <c r="AR111" s="63">
        <f>SUM(AH111:AQ111)</f>
        <v>-43</v>
      </c>
    </row>
    <row r="112" spans="1:45" ht="15" x14ac:dyDescent="0.25">
      <c r="A112" s="3" t="str">
        <f>IF(AL92&gt;2,"Game 3","")</f>
        <v/>
      </c>
      <c r="B112" s="69"/>
      <c r="C112" s="70" t="s">
        <v>52</v>
      </c>
      <c r="D112" s="71"/>
      <c r="E112" s="69"/>
      <c r="F112" s="70" t="str">
        <f>IF(AL93&gt;1,IF(AL92&gt;2,"/",""),"")</f>
        <v/>
      </c>
      <c r="G112" s="71"/>
      <c r="H112" s="69"/>
      <c r="I112" s="70" t="str">
        <f>IF(AL93&gt;2,IF(AL92&gt;2,"/",""),"")</f>
        <v/>
      </c>
      <c r="J112" s="71"/>
      <c r="K112" s="312"/>
      <c r="L112" s="69"/>
      <c r="M112" s="70" t="str">
        <f>IF(AL93&gt;3,IF(AL92&gt;2,"/",""),"")</f>
        <v/>
      </c>
      <c r="N112" s="71"/>
      <c r="O112" s="69"/>
      <c r="P112" s="70" t="str">
        <f>IF(AL93&gt;4,IF(AL92&gt;2,"/",""),"")</f>
        <v/>
      </c>
      <c r="Q112" s="71"/>
      <c r="R112" s="69"/>
      <c r="S112" s="70" t="str">
        <f>IF(AL93&gt;5,IF(AL92&gt;2,"/",""),"")</f>
        <v/>
      </c>
      <c r="T112" s="71"/>
      <c r="U112" s="69"/>
      <c r="V112" s="70" t="str">
        <f>IF(AL93&gt;6,IF(AL92&gt;2,"/",""),"")</f>
        <v/>
      </c>
      <c r="W112" s="71"/>
      <c r="X112" s="69"/>
      <c r="Y112" s="70" t="str">
        <f>IF(AL93&gt;7,IF(AL92&gt;2,"/",""),"")</f>
        <v/>
      </c>
      <c r="Z112" s="71"/>
      <c r="AA112" s="69"/>
      <c r="AB112" s="70" t="str">
        <f>IF(AL93&gt;8,IF(AL92&gt;2,"/",""),"")</f>
        <v/>
      </c>
      <c r="AC112" s="71"/>
      <c r="AD112" s="69"/>
      <c r="AE112" s="70" t="str">
        <f>IF(AL93&gt;9,IF(AL92&gt;2,"/",""),"")</f>
        <v/>
      </c>
      <c r="AF112" s="71"/>
      <c r="AG112" s="67" t="str">
        <f>IF(AL94&gt;3,"Team 4","")</f>
        <v/>
      </c>
      <c r="AH112" s="68" t="str">
        <f>IF(AL94&lt;4,"",IF(AL93&lt;1,"",IF(B109=4,B115-D115,IF(D109=4,D115-B115,""))))</f>
        <v/>
      </c>
      <c r="AI112" s="68" t="str">
        <f>IF(AL94&lt;4,"",IF(AL93&lt;2,"",IF(E109=4,E115-G115,IF(G109=4,G115-E115,""))))</f>
        <v/>
      </c>
      <c r="AJ112" s="68" t="str">
        <f>IF(AL94&lt;4,"",IF(AL93&lt;3,"",IF(H109=4,H115-J115,IF(J109=4,J115-H115,""))))</f>
        <v/>
      </c>
      <c r="AK112" s="68" t="str">
        <f>IF(AL94&lt;4,"",IF(AL93&lt;4,"",IF(L109=4,L115-N115,IF(N109=4,N115-L115,""))))</f>
        <v/>
      </c>
      <c r="AL112" s="68" t="str">
        <f>IF(AL94&lt;4,"",IF(AL93&lt;5,"",IF(O109=4,O115-Q115,IF(Q109=4,Q115-O115,""))))</f>
        <v/>
      </c>
      <c r="AM112" s="68" t="str">
        <f>IF(AL94&lt;4,"",IF(AL93&lt;6,"",IF(R109=4,R115-T115,IF(T109=4,T115-R115,""))))</f>
        <v/>
      </c>
      <c r="AN112" s="68" t="str">
        <f>IF(AL94&lt;4,"",IF(AL93&lt;7,"",IF(U109=4,U115-W115,IF(W109=4,W115-U115,""))))</f>
        <v/>
      </c>
      <c r="AO112" s="68" t="str">
        <f>IF(AL94&lt;4,"",IF(AL93&lt;8,"",IF(X109=4,X115-Z115,IF(Z109=4,Z115-X115,""))))</f>
        <v/>
      </c>
      <c r="AP112" s="68" t="str">
        <f>IF(AL94&lt;4,"",IF(AL93&lt;9,"",IF(AA109=4,AA115-AC115,IF(AC109=4,AC115-AA115,""))))</f>
        <v/>
      </c>
      <c r="AQ112" s="68" t="str">
        <f>IF(AL94&lt;4,"",IF(AL93&lt;10,"",IF(AD109=4,AD115-AF115,IF(AF109=4,AF115-AD115,""))))</f>
        <v/>
      </c>
      <c r="AR112" s="63">
        <f>SUM(AH112:AQ112)</f>
        <v>0</v>
      </c>
    </row>
    <row r="113" spans="1:44" ht="15" x14ac:dyDescent="0.25">
      <c r="A113" s="3" t="str">
        <f>IF(AL92&gt;3,"Game 4","")</f>
        <v/>
      </c>
      <c r="B113" s="69"/>
      <c r="C113" s="70" t="s">
        <v>52</v>
      </c>
      <c r="D113" s="71"/>
      <c r="E113" s="69"/>
      <c r="F113" s="70" t="str">
        <f>IF(AL93&gt;1,IF(AL92&gt;3,"/",""),"")</f>
        <v/>
      </c>
      <c r="G113" s="71"/>
      <c r="H113" s="69"/>
      <c r="I113" s="70" t="str">
        <f>IF(AL93&gt;2,IF(AL92&gt;3,"/",""),"")</f>
        <v/>
      </c>
      <c r="J113" s="71"/>
      <c r="K113" s="312"/>
      <c r="L113" s="69"/>
      <c r="M113" s="70" t="str">
        <f>IF(AL93&gt;3,IF(AL92&gt;3,"/",""),"")</f>
        <v/>
      </c>
      <c r="N113" s="71"/>
      <c r="O113" s="69"/>
      <c r="P113" s="70" t="str">
        <f>IF(AL93&gt;4,IF(AL92&gt;3,"/",""),"")</f>
        <v/>
      </c>
      <c r="Q113" s="71"/>
      <c r="R113" s="69"/>
      <c r="S113" s="70" t="str">
        <f>IF(AL93&gt;5,IF(AL92&gt;3,"/",""),"")</f>
        <v/>
      </c>
      <c r="T113" s="71"/>
      <c r="U113" s="69"/>
      <c r="V113" s="70" t="str">
        <f>IF(AL93&gt;6,IF(AL92&gt;3,"/",""),"")</f>
        <v/>
      </c>
      <c r="W113" s="71"/>
      <c r="X113" s="69"/>
      <c r="Y113" s="70" t="str">
        <f>IF(AL93&gt;7,IF(AL92&gt;3,"/",""),"")</f>
        <v/>
      </c>
      <c r="Z113" s="71"/>
      <c r="AA113" s="69"/>
      <c r="AB113" s="70" t="str">
        <f>IF(AL93&gt;8,IF(AL92&gt;3,"/",""),"")</f>
        <v/>
      </c>
      <c r="AC113" s="71"/>
      <c r="AD113" s="69"/>
      <c r="AE113" s="70" t="str">
        <f>IF(AL93&gt;9,IF(AL92&gt;3,"/",""),"")</f>
        <v/>
      </c>
      <c r="AF113" s="71"/>
      <c r="AG113" s="67" t="str">
        <f>IF(AL94&gt;4,"Team 5","")</f>
        <v/>
      </c>
      <c r="AH113" s="72" t="str">
        <f>IF(AL94&lt;5,"",IF(AL93&lt;1,"",IF(B109=5,B115-D115,IF(D109=5,D115-B115,""))))</f>
        <v/>
      </c>
      <c r="AI113" s="68" t="str">
        <f>IF(AL94&lt;5,"",IF(AL93&lt;2,"",IF(E109=5,E115-G115,IF(G109=5,G115-E115,""))))</f>
        <v/>
      </c>
      <c r="AJ113" s="68" t="str">
        <f>IF(AL94&lt;5,"",IF(AL93&lt;3,"",IF(H109=5,H115-J115,IF(J109=5,J115-H115,""))))</f>
        <v/>
      </c>
      <c r="AK113" s="68" t="str">
        <f>IF(AL94&lt;5,"",IF(AL93&lt;4,"",IF(L109=5,L115-N115,IF(N109=5,N115-L115,""))))</f>
        <v/>
      </c>
      <c r="AL113" s="68" t="str">
        <f>IF(AL94&lt;5,"",IF(AL93&lt;5,"",IF(O109=5,O115-Q115,IF(Q109=5,Q115-O115,""))))</f>
        <v/>
      </c>
      <c r="AM113" s="68" t="str">
        <f>IF(AL94&lt;5,"",IF(AL93&lt;6,"",IF(R109=5,R115-T115,IF(T109=5,T115-R115,""))))</f>
        <v/>
      </c>
      <c r="AN113" s="68" t="str">
        <f>IF(AL94&lt;5,"",IF(AL93&lt;7,"",IF(U109=5,U115-W115,IF(W109=5,W115-U115,""))))</f>
        <v/>
      </c>
      <c r="AO113" s="68" t="str">
        <f>IF(AL94&lt;5,"",IF(AL93&lt;8,"",IF(X109=5,X115-Z115,IF(Z109=5,Z115-X115,""))))</f>
        <v/>
      </c>
      <c r="AP113" s="68" t="str">
        <f>IF(AL94&lt;5,"",IF(AL93&lt;9,"",IF(AA109=5,AA115-AC115,IF(AC109=5,AC115-AA115,""))))</f>
        <v/>
      </c>
      <c r="AQ113" s="68" t="str">
        <f>IF(AL94&lt;5,"",IF(AL93&lt;10,"",IF(AD109=5,AD115-AF115,IF(AF109=5,AF115-AD115,""))))</f>
        <v/>
      </c>
      <c r="AR113" s="63">
        <f>SUM(AH113:AQ113)</f>
        <v>0</v>
      </c>
    </row>
    <row r="114" spans="1:44" ht="15" x14ac:dyDescent="0.25">
      <c r="A114" s="3" t="str">
        <f>IF(AL92&gt;4,"Game 5","")</f>
        <v/>
      </c>
      <c r="B114" s="69"/>
      <c r="C114" s="70" t="s">
        <v>52</v>
      </c>
      <c r="D114" s="71"/>
      <c r="E114" s="69"/>
      <c r="F114" s="70" t="str">
        <f>IF(AL93&gt;1,IF(AL92&gt;4,"/",""),"")</f>
        <v/>
      </c>
      <c r="G114" s="71"/>
      <c r="H114" s="69"/>
      <c r="I114" s="70" t="str">
        <f>IF(AL93&gt;2,IF(AL92&gt;4,"/",""),"")</f>
        <v/>
      </c>
      <c r="J114" s="71"/>
      <c r="K114" s="313"/>
      <c r="L114" s="69"/>
      <c r="M114" s="70" t="str">
        <f>IF(AL93&gt;3,IF(AL92&gt;4,"/",""),"")</f>
        <v/>
      </c>
      <c r="N114" s="71"/>
      <c r="O114" s="69"/>
      <c r="P114" s="70" t="str">
        <f>IF(AL93&gt;4,IF(AL92&gt;4,"/",""),"")</f>
        <v/>
      </c>
      <c r="Q114" s="71"/>
      <c r="R114" s="69"/>
      <c r="S114" s="70" t="str">
        <f>IF(AL93&gt;5,IF(AL92&gt;4,"/",""),"")</f>
        <v/>
      </c>
      <c r="T114" s="71"/>
      <c r="U114" s="69"/>
      <c r="V114" s="70" t="str">
        <f>IF(AL93&gt;6,IF(AL92&gt;4,"/",""),"")</f>
        <v/>
      </c>
      <c r="W114" s="71"/>
      <c r="X114" s="69"/>
      <c r="Y114" s="70" t="str">
        <f>IF(AL93&gt;7,IF(AL92&gt;4,"/",""),"")</f>
        <v/>
      </c>
      <c r="Z114" s="71"/>
      <c r="AA114" s="69"/>
      <c r="AB114" s="70" t="str">
        <f>IF(AL93&gt;8,IF(AL92&gt;4,"/",""),"")</f>
        <v/>
      </c>
      <c r="AC114" s="71"/>
      <c r="AD114" s="69"/>
      <c r="AE114" s="70" t="str">
        <f>IF(AL93&gt;9,IF(AL92&gt;4,"/",""),"")</f>
        <v/>
      </c>
      <c r="AF114" s="7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</row>
    <row r="115" spans="1:44" hidden="1" x14ac:dyDescent="0.25">
      <c r="A115" s="73"/>
      <c r="B115" s="73">
        <f>IF($AL92=5,SUM(B110:B114),IF($AL92=4,SUM(B110:B113),IF($AL92=3,SUM(B110:B112),IF($AL92=2,SUM(B110:B111),B110))))</f>
        <v>26</v>
      </c>
      <c r="C115" s="73"/>
      <c r="D115" s="73">
        <f>IF($AL92=5,SUM(D110:D114),IF($AL92=4,SUM(D110:D113),IF($AL92=3,SUM(D110:D112),IF($AL92=2,SUM(D110:D111),D110))))</f>
        <v>10</v>
      </c>
      <c r="E115" s="73">
        <f>IF($AL92=5,SUM(E110:E114),IF($AL92=4,SUM(E110:E113),IF($AL92=3,SUM(E110:E112),IF($AL92=2,SUM(E110:E111),E110))))</f>
        <v>21</v>
      </c>
      <c r="F115" s="73"/>
      <c r="G115" s="73">
        <f>IF($AL92=5,SUM(G110:G114),IF($AL92=4,SUM(G110:G113),IF($AL92=3,SUM(G110:G112),IF($AL92=2,SUM(G110:G111),G110))))</f>
        <v>12</v>
      </c>
      <c r="H115" s="73">
        <f>IF($AL92=5,SUM(H110:H114),IF($AL92=4,SUM(H110:H113),IF($AL92=3,SUM(H110:H112),IF($AL92=2,SUM(H110:H111),H110))))</f>
        <v>16</v>
      </c>
      <c r="I115" s="73"/>
      <c r="J115" s="73">
        <f>IF($AL92=5,SUM(J110:J114),IF($AL92=4,SUM(J110:J113),IF($AL92=3,SUM(J110:J112),IF($AL92=2,SUM(J110:J111),J110))))</f>
        <v>23</v>
      </c>
      <c r="K115" s="73"/>
      <c r="L115" s="73">
        <f>IF($AL92=5,SUM(L110:L114),IF($AL92=4,SUM(L110:L113),IF($AL92=3,SUM(L110:L112),IF($AL92=2,SUM(L110:L111),L110))))</f>
        <v>23</v>
      </c>
      <c r="M115" s="73"/>
      <c r="N115" s="73">
        <f>IF($AL92=5,SUM(N110:N114),IF($AL92=4,SUM(N110:N113),IF($AL92=3,SUM(N110:N112),IF($AL92=2,SUM(N110:N111),N110))))</f>
        <v>11</v>
      </c>
      <c r="O115" s="73">
        <f>IF($AL92=5,SUM(O110:O114),IF($AL92=4,SUM(O110:O113),IF($AL92=3,SUM(O110:O112),IF($AL92=2,SUM(O110:O111),O110))))</f>
        <v>20</v>
      </c>
      <c r="P115" s="73"/>
      <c r="Q115" s="73">
        <f>IF($AL92=5,SUM(Q110:Q114),IF($AL92=4,SUM(Q110:Q113),IF($AL92=3,SUM(Q110:Q112),IF($AL92=2,SUM(Q110:Q111),Q110))))</f>
        <v>14</v>
      </c>
      <c r="R115" s="73">
        <f>IF($AL92=5,SUM(R110:R114),IF($AL92=4,SUM(R110:R113),IF($AL92=3,SUM(R110:R112),IF($AL92=2,SUM(R110:R111),R110))))</f>
        <v>23</v>
      </c>
      <c r="S115" s="73"/>
      <c r="T115" s="73">
        <f>IF($AL92=5,SUM(T110:T114),IF($AL92=4,SUM(T110:T113),IF($AL92=3,SUM(T110:T112),IF($AL92=2,SUM(T110:T111),T110))))</f>
        <v>15</v>
      </c>
      <c r="U115" s="73">
        <f>IF($AL92=5,SUM(U110:U114),IF($AL92=4,SUM(U110:U113),IF($AL92=3,SUM(U110:U112),IF($AL92=2,SUM(U110:U111),U110))))</f>
        <v>0</v>
      </c>
      <c r="V115" s="73"/>
      <c r="W115" s="73">
        <f>IF($AL92=5,SUM(W110:W114),IF($AL92=4,SUM(W110:W113),IF($AL92=3,SUM(W110:W112),IF($AL92=2,SUM(W110:W111),W110))))</f>
        <v>0</v>
      </c>
      <c r="X115" s="73">
        <f>IF($AL92=5,SUM(X110:X114),IF($AL92=4,SUM(X110:X113),IF($AL92=3,SUM(X110:X112),IF($AL92=2,SUM(X110:X111),X110))))</f>
        <v>0</v>
      </c>
      <c r="Y115" s="73"/>
      <c r="Z115" s="73">
        <f>IF($AL92=5,SUM(Z110:Z114),IF($AL92=4,SUM(Z110:Z113),IF($AL92=3,SUM(Z110:Z112),IF($AL92=2,SUM(Z110:Z111),Z110))))</f>
        <v>0</v>
      </c>
      <c r="AA115" s="73">
        <f>IF($AL92=5,SUM(AA110:AA114),IF($AL92=4,SUM(AA110:AA113),IF($AL92=3,SUM(AA110:AA112),IF($AL92=2,SUM(AA110:AA111),AA110))))</f>
        <v>0</v>
      </c>
      <c r="AB115" s="73"/>
      <c r="AC115" s="73">
        <f>IF($AL92=5,SUM(AC110:AC114),IF($AL92=4,SUM(AC110:AC113),IF($AL92=3,SUM(AC110:AC112),IF($AL92=2,SUM(AC110:AC111),AC110))))</f>
        <v>0</v>
      </c>
      <c r="AD115" s="73">
        <f>IF($AL92=5,SUM(AD110:AD114),IF($AL92=4,SUM(AD110:AD113),IF($AL92=3,SUM(AD110:AD112),IF($AL92=2,SUM(AD110:AD111),AD110))))</f>
        <v>0</v>
      </c>
      <c r="AE115" s="73"/>
      <c r="AF115" s="73">
        <f>IF($AL92=5,SUM(AF110:AF114),IF($AL92=4,SUM(AF110:AF113),IF($AL92=3,SUM(AF110:AF112),IF($AL92=2,SUM(AF110:AF111),AF110))))</f>
        <v>0</v>
      </c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</row>
    <row r="116" spans="1:44" s="74" customFormat="1" ht="12.75" hidden="1" customHeight="1" x14ac:dyDescent="0.25">
      <c r="A116" s="74" t="s">
        <v>53</v>
      </c>
      <c r="B116" s="75">
        <f>IF(AND(B110&gt;D110,$AL93&gt;0,ISNUMBER(B110),ISNUMBER(D110)),1,0)</f>
        <v>1</v>
      </c>
      <c r="C116" s="75"/>
      <c r="D116" s="76">
        <f>IF(AND(D110&gt;B110,$AL93&gt;0,ISNUMBER(B110),ISNUMBER(D110)),1,0)</f>
        <v>0</v>
      </c>
      <c r="E116" s="75">
        <f>IF(AND(E110&gt;G110,$AL93&gt;1,ISNUMBER(E110),ISNUMBER(G110)),1,0)</f>
        <v>1</v>
      </c>
      <c r="F116" s="75"/>
      <c r="G116" s="76">
        <f>IF(AND(G110&gt;E110,$AL93&gt;1,ISNUMBER(E110),ISNUMBER(G110)),1,0)</f>
        <v>0</v>
      </c>
      <c r="H116" s="75">
        <f>IF(AND(H110&gt;J110,$AL93&gt;2,ISNUMBER(H110),ISNUMBER(J110)),1,0)</f>
        <v>0</v>
      </c>
      <c r="I116" s="75"/>
      <c r="J116" s="76">
        <f>IF(AND(J110&gt;H110,$AL93&gt;2,ISNUMBER(H110),ISNUMBER(J110)),1,0)</f>
        <v>1</v>
      </c>
      <c r="K116" s="77"/>
      <c r="L116" s="75">
        <f>IF(AND(L110&gt;N110,$AL93&gt;3,ISNUMBER(L110),ISNUMBER(N110)),1,0)</f>
        <v>1</v>
      </c>
      <c r="M116" s="75"/>
      <c r="N116" s="76">
        <f>IF(AND(N110&gt;L110,$AL93&gt;3,ISNUMBER(L110),ISNUMBER(N110)),1,0)</f>
        <v>0</v>
      </c>
      <c r="O116" s="75">
        <f>IF(AND(O110&gt;Q110,$AL93&gt;4,ISNUMBER(O110),ISNUMBER(Q110)),1,0)</f>
        <v>1</v>
      </c>
      <c r="P116" s="75"/>
      <c r="Q116" s="76">
        <f>IF(AND(Q110&gt;O110,$AL93&gt;4,ISNUMBER(O110),ISNUMBER(Q110)),1,0)</f>
        <v>0</v>
      </c>
      <c r="R116" s="75">
        <f>IF(AND(R110&gt;T110,$AL93&gt;5,ISNUMBER(R110),ISNUMBER(T110)),1,0)</f>
        <v>1</v>
      </c>
      <c r="S116" s="75"/>
      <c r="T116" s="76">
        <f>IF(AND(T110&gt;R110,$AL93&gt;5,ISNUMBER(R110),ISNUMBER(T110)),1,0)</f>
        <v>0</v>
      </c>
      <c r="U116" s="75">
        <f>IF(AND(U110&gt;W110,$AL93&gt;6,ISNUMBER(U110),ISNUMBER(W110)),1,0)</f>
        <v>0</v>
      </c>
      <c r="V116" s="75"/>
      <c r="W116" s="76">
        <f>IF(AND(W110&gt;U110,$AL93&gt;6,ISNUMBER(U110),ISNUMBER(W110)),1,0)</f>
        <v>0</v>
      </c>
      <c r="X116" s="75">
        <f>IF(AND(X110&gt;Z110,$AL93&gt;7,ISNUMBER(X110),ISNUMBER(Z110)),1,0)</f>
        <v>0</v>
      </c>
      <c r="Y116" s="75"/>
      <c r="Z116" s="76">
        <f>IF(AND(Z110&gt;X110,$AL93&gt;7,ISNUMBER(X110),ISNUMBER(Z110)),1,0)</f>
        <v>0</v>
      </c>
      <c r="AA116" s="75">
        <f>IF(AND(AA110&gt;AC110,$AL93&gt;8,ISNUMBER(AA110),ISNUMBER(AC110)),1,0)</f>
        <v>0</v>
      </c>
      <c r="AB116" s="75"/>
      <c r="AC116" s="76">
        <f>IF(AND(AC110&gt;AA110,$AL93&gt;8,ISNUMBER(AA110),ISNUMBER(AC110)),1,0)</f>
        <v>0</v>
      </c>
      <c r="AD116" s="75">
        <f>IF(AND(AD110&gt;AF110,$AL93&gt;9,ISNUMBER(AD110),ISNUMBER(AF110)),1,0)</f>
        <v>0</v>
      </c>
      <c r="AE116" s="75"/>
      <c r="AF116" s="76">
        <f>IF(AND(AF110&gt;AD110,$AL93&gt;9,ISNUMBER(AD110),ISNUMBER(AF110)),1,0)</f>
        <v>0</v>
      </c>
    </row>
    <row r="117" spans="1:44" s="74" customFormat="1" ht="12.75" hidden="1" customHeight="1" x14ac:dyDescent="0.25">
      <c r="A117" s="74" t="s">
        <v>54</v>
      </c>
      <c r="B117" s="75">
        <f>IF(AND(B111&gt;D111,$AL93&gt;0,$AL92&gt;1,ISNUMBER(B111),ISNUMBER(D111)),1,0)</f>
        <v>0</v>
      </c>
      <c r="C117" s="75"/>
      <c r="D117" s="76">
        <f>IF(AND(D111&gt;B111,$AL93&gt;0,$AL92&gt;1,ISNUMBER(B111),ISNUMBER(D111)),1,0)</f>
        <v>0</v>
      </c>
      <c r="E117" s="75">
        <f>IF(AND(E111&gt;G111,$AL93&gt;1,$AL92&gt;1,ISNUMBER(E111),ISNUMBER(G111)),1,0)</f>
        <v>0</v>
      </c>
      <c r="F117" s="75"/>
      <c r="G117" s="76">
        <f>IF(AND(G111&gt;E111,$AL93&gt;1,$AL92&gt;1,ISNUMBER(E111),ISNUMBER(G111)),1,0)</f>
        <v>0</v>
      </c>
      <c r="H117" s="75">
        <f>IF(AND(H111&gt;J111,$AL93&gt;2,$AL92&gt;1,ISNUMBER(H111),ISNUMBER(J111)),1,0)</f>
        <v>0</v>
      </c>
      <c r="I117" s="75"/>
      <c r="J117" s="76">
        <f>IF(AND(J111&gt;H111,$AL93&gt;2,$AL92&gt;1,ISNUMBER(H111),ISNUMBER(J111)),1,0)</f>
        <v>0</v>
      </c>
      <c r="K117" s="77"/>
      <c r="L117" s="75">
        <f>IF(AND(L111&gt;N111,$AL93&gt;3,$AL92&gt;1,ISNUMBER(L111),ISNUMBER(N111)),1,0)</f>
        <v>0</v>
      </c>
      <c r="M117" s="75"/>
      <c r="N117" s="76">
        <f>IF(AND(N111&gt;L111,$AL93&gt;3,$AL92&gt;1,ISNUMBER(L111),ISNUMBER(N111)),1,0)</f>
        <v>0</v>
      </c>
      <c r="O117" s="75">
        <f>IF(AND(O111&gt;Q111,$AL93&gt;4,$AL92&gt;1,ISNUMBER(O111),ISNUMBER(Q111)),1,0)</f>
        <v>0</v>
      </c>
      <c r="P117" s="75"/>
      <c r="Q117" s="76">
        <f>IF(AND(Q111&gt;O111,$AL93&gt;4,$AL92&gt;1,ISNUMBER(O111),ISNUMBER(Q111)),1,0)</f>
        <v>0</v>
      </c>
      <c r="R117" s="75">
        <f>IF(AND(R111&gt;T111,$AL93&gt;5,$AL92&gt;1,ISNUMBER(R111),ISNUMBER(T111)),1,0)</f>
        <v>0</v>
      </c>
      <c r="S117" s="75"/>
      <c r="T117" s="76">
        <f>IF(AND(T111&gt;R111,$AL93&gt;5,$AL92&gt;1,ISNUMBER(R111),ISNUMBER(T111)),1,0)</f>
        <v>0</v>
      </c>
      <c r="U117" s="75">
        <f>IF(AND(U111&gt;W111,$AL93&gt;6,$AL92&gt;1,ISNUMBER(U111),ISNUMBER(W111)),1,0)</f>
        <v>0</v>
      </c>
      <c r="V117" s="75"/>
      <c r="W117" s="76">
        <f>IF(AND(W111&gt;U111,$AL93&gt;6,$AL92&gt;1,ISNUMBER(U111),ISNUMBER(W111)),1,0)</f>
        <v>0</v>
      </c>
      <c r="X117" s="75">
        <f>IF(AND(X111&gt;Z111,$AL93&gt;7,$AL92&gt;1,ISNUMBER(X111),ISNUMBER(Z111)),1,0)</f>
        <v>0</v>
      </c>
      <c r="Y117" s="75"/>
      <c r="Z117" s="76">
        <f>IF(AND(Z111&gt;X111,$AL93&gt;7,$AL92&gt;1,ISNUMBER(X111),ISNUMBER(Z111)),1,0)</f>
        <v>0</v>
      </c>
      <c r="AA117" s="75">
        <f>IF(AND(AA111&gt;AC111,$AL93&gt;8,$AL92&gt;1,ISNUMBER(AA111),ISNUMBER(AC111)),1,0)</f>
        <v>0</v>
      </c>
      <c r="AB117" s="75"/>
      <c r="AC117" s="76">
        <f>IF(AND(AC111&gt;AA111,$AL93&gt;8,$AL92&gt;1,ISNUMBER(AA111),ISNUMBER(AC111)),1,0)</f>
        <v>0</v>
      </c>
      <c r="AD117" s="75">
        <f>IF(AND(AD111&gt;AF111,$AL93&gt;9,$AL92&gt;1,ISNUMBER(AD111),ISNUMBER(AF111)),1,0)</f>
        <v>0</v>
      </c>
      <c r="AE117" s="75"/>
      <c r="AF117" s="76">
        <f>IF(AND(AF111&gt;AD111,$AL93&gt;9,$AL92&gt;1,ISNUMBER(AD111),ISNUMBER(AF111)),1,0)</f>
        <v>0</v>
      </c>
    </row>
    <row r="118" spans="1:44" s="74" customFormat="1" ht="12.75" hidden="1" customHeight="1" x14ac:dyDescent="0.25">
      <c r="A118" s="74" t="s">
        <v>55</v>
      </c>
      <c r="B118" s="75">
        <f>IF(AND(B112&gt;D112,$AL93&gt;0,$AL92&gt;2,ISNUMBER(B112),ISNUMBER(D112)),1,0)</f>
        <v>0</v>
      </c>
      <c r="C118" s="75"/>
      <c r="D118" s="76">
        <f>IF(AND(D112&gt;B112,$AL93&gt;0,$AL92&gt;2,ISNUMBER(B112),ISNUMBER(D112)),1,0)</f>
        <v>0</v>
      </c>
      <c r="E118" s="75">
        <f>IF(AND(E112&gt;G112,$AL93&gt;1,$AL92&gt;2,ISNUMBER(E112),ISNUMBER(G112)),1,0)</f>
        <v>0</v>
      </c>
      <c r="F118" s="75"/>
      <c r="G118" s="76">
        <f>IF(AND(G112&gt;E112,$AL93&gt;1,$AL92&gt;2,ISNUMBER(E112),ISNUMBER(G112)),1,0)</f>
        <v>0</v>
      </c>
      <c r="H118" s="75">
        <f>IF(AND(H112&gt;J112,$AL93&gt;2,$AL92&gt;2,ISNUMBER(H112),ISNUMBER(J112)),1,0)</f>
        <v>0</v>
      </c>
      <c r="I118" s="75"/>
      <c r="J118" s="76">
        <f>IF(AND(J112&gt;H112,$AL93&gt;2,$AL92&gt;2,ISNUMBER(H112),ISNUMBER(J112)),1,0)</f>
        <v>0</v>
      </c>
      <c r="K118" s="77"/>
      <c r="L118" s="75">
        <f>IF(AND(L112&gt;N112,$AL93&gt;3,$AL92&gt;2,ISNUMBER(L112),ISNUMBER(N112)),1,0)</f>
        <v>0</v>
      </c>
      <c r="M118" s="75"/>
      <c r="N118" s="76">
        <f>IF(AND(N112&gt;L112,$AL93&gt;3,$AL92&gt;2,ISNUMBER(L112),ISNUMBER(N112)),1,0)</f>
        <v>0</v>
      </c>
      <c r="O118" s="75">
        <f>IF(AND(O112&gt;Q112,$AL93&gt;4,$AL92&gt;2,ISNUMBER(O112),ISNUMBER(Q112)),1,0)</f>
        <v>0</v>
      </c>
      <c r="P118" s="75"/>
      <c r="Q118" s="76">
        <f>IF(AND(Q112&gt;O112,$AL93&gt;4,$AL92&gt;2,ISNUMBER(O112),ISNUMBER(Q112)),1,0)</f>
        <v>0</v>
      </c>
      <c r="R118" s="75">
        <f>IF(AND(R112&gt;T112,$AL93&gt;5,$AL92&gt;2,ISNUMBER(R112),ISNUMBER(T112)),1,0)</f>
        <v>0</v>
      </c>
      <c r="S118" s="75"/>
      <c r="T118" s="76">
        <f>IF(AND(T112&gt;R112,$AL93&gt;5,$AL92&gt;2,ISNUMBER(R112),ISNUMBER(T112)),1,0)</f>
        <v>0</v>
      </c>
      <c r="U118" s="75">
        <f>IF(AND(U112&gt;W112,$AL93&gt;6,$AL92&gt;2,ISNUMBER(U112),ISNUMBER(W112)),1,0)</f>
        <v>0</v>
      </c>
      <c r="V118" s="75"/>
      <c r="W118" s="76">
        <f>IF(AND(W112&gt;U112,$AL93&gt;6,$AL92&gt;2,ISNUMBER(U112),ISNUMBER(W112)),1,0)</f>
        <v>0</v>
      </c>
      <c r="X118" s="75">
        <f>IF(AND(X112&gt;Z112,$AL93&gt;7,$AL92&gt;2,ISNUMBER(X112),ISNUMBER(Z112)),1,0)</f>
        <v>0</v>
      </c>
      <c r="Y118" s="75"/>
      <c r="Z118" s="76">
        <f>IF(AND(Z112&gt;X112,$AL93&gt;7,$AL92&gt;2,ISNUMBER(X112),ISNUMBER(Z112)),1,0)</f>
        <v>0</v>
      </c>
      <c r="AA118" s="75">
        <f>IF(AND(AA112&gt;AC112,$AL93&gt;8,$AL92&gt;2,ISNUMBER(AA112),ISNUMBER(AC112)),1,0)</f>
        <v>0</v>
      </c>
      <c r="AB118" s="75"/>
      <c r="AC118" s="76">
        <f>IF(AND(AC112&gt;AA112,$AL93&gt;8,$AL92&gt;2,ISNUMBER(AA112),ISNUMBER(AC112)),1,0)</f>
        <v>0</v>
      </c>
      <c r="AD118" s="75">
        <f>IF(AND(AD112&gt;AF112,$AL93&gt;9,$AL92&gt;2,ISNUMBER(AD112),ISNUMBER(AF112)),1,0)</f>
        <v>0</v>
      </c>
      <c r="AE118" s="75"/>
      <c r="AF118" s="76">
        <f>IF(AND(AF112&gt;AD112,$AL93&gt;9,$AL92&gt;2,ISNUMBER(AD112),ISNUMBER(AF112)),1,0)</f>
        <v>0</v>
      </c>
    </row>
    <row r="119" spans="1:44" s="74" customFormat="1" ht="12.75" hidden="1" customHeight="1" x14ac:dyDescent="0.25">
      <c r="A119" s="74" t="s">
        <v>56</v>
      </c>
      <c r="B119" s="75">
        <f>IF(AND(B113&gt;D113,$AL93&gt;0,$AL92&gt;3,ISNUMBER(B113),ISNUMBER(D113)),1,0)</f>
        <v>0</v>
      </c>
      <c r="C119" s="75"/>
      <c r="D119" s="76">
        <f>IF(AND(D113&gt;B113,$AL93&gt;0,$AL92&gt;3,ISNUMBER(B113),ISNUMBER(D113)),1,0)</f>
        <v>0</v>
      </c>
      <c r="E119" s="75">
        <f>IF(AND(E113&gt;G113,$AL93&gt;1,$AL92&gt;3,ISNUMBER(E113),ISNUMBER(G113)),1,0)</f>
        <v>0</v>
      </c>
      <c r="F119" s="75"/>
      <c r="G119" s="76">
        <f>IF(AND(G113&gt;E113,$AL93&gt;1,$AL92&gt;3,ISNUMBER(E113),ISNUMBER(G113)),1,0)</f>
        <v>0</v>
      </c>
      <c r="H119" s="75">
        <f>IF(AND(H113&gt;J113,$AL93&gt;2,$AL92&gt;3,ISNUMBER(H113),ISNUMBER(J113)),1,0)</f>
        <v>0</v>
      </c>
      <c r="I119" s="75"/>
      <c r="J119" s="76">
        <f>IF(AND(J113&gt;H113,$AL93&gt;2,$AL92&gt;3,ISNUMBER(H113),ISNUMBER(J113)),1,0)</f>
        <v>0</v>
      </c>
      <c r="K119" s="77"/>
      <c r="L119" s="75">
        <f>IF(AND(L113&gt;N113,$AL93&gt;3,$AL92&gt;3,ISNUMBER(L113),ISNUMBER(N113)),1,0)</f>
        <v>0</v>
      </c>
      <c r="M119" s="75"/>
      <c r="N119" s="76">
        <f>IF(AND(N113&gt;L113,$AL93&gt;3,$AL92&gt;3,ISNUMBER(L113),ISNUMBER(N113)),1,0)</f>
        <v>0</v>
      </c>
      <c r="O119" s="75">
        <f>IF(AND(O113&gt;Q113,$AL93&gt;4,$AL92&gt;3,ISNUMBER(O113),ISNUMBER(Q113)),1,0)</f>
        <v>0</v>
      </c>
      <c r="P119" s="75"/>
      <c r="Q119" s="76">
        <f>IF(AND(Q113&gt;O113,$AL93&gt;4,$AL92&gt;3,ISNUMBER(O113),ISNUMBER(Q113)),1,0)</f>
        <v>0</v>
      </c>
      <c r="R119" s="75">
        <f>IF(AND(R113&gt;T113,$AL93&gt;5,$AL92&gt;3,ISNUMBER(R113),ISNUMBER(T113)),1,0)</f>
        <v>0</v>
      </c>
      <c r="S119" s="75"/>
      <c r="T119" s="76">
        <f>IF(AND(T113&gt;R113,$AL93&gt;5,$AL92&gt;3,ISNUMBER(R113),ISNUMBER(T113)),1,0)</f>
        <v>0</v>
      </c>
      <c r="U119" s="75">
        <f>IF(AND(U113&gt;W113,$AL93&gt;6,$AL92&gt;3,ISNUMBER(U113),ISNUMBER(W113)),1,0)</f>
        <v>0</v>
      </c>
      <c r="V119" s="75"/>
      <c r="W119" s="76">
        <f>IF(AND(W113&gt;U113,$AL93&gt;6,$AL92&gt;3,ISNUMBER(U113),ISNUMBER(W113)),1,0)</f>
        <v>0</v>
      </c>
      <c r="X119" s="75">
        <f>IF(AND(X113&gt;Z113,$AL93&gt;7,$AL92&gt;3,ISNUMBER(X113),ISNUMBER(Z113)),1,0)</f>
        <v>0</v>
      </c>
      <c r="Y119" s="75"/>
      <c r="Z119" s="76">
        <f>IF(AND(Z113&gt;X113,$AL93&gt;7,$AL92&gt;3,ISNUMBER(X113),ISNUMBER(Z113)),1,0)</f>
        <v>0</v>
      </c>
      <c r="AA119" s="75">
        <f>IF(AND(AA113&gt;AC113,$AL93&gt;8,$AL92&gt;3,ISNUMBER(AA113),ISNUMBER(AC113)),1,0)</f>
        <v>0</v>
      </c>
      <c r="AB119" s="75"/>
      <c r="AC119" s="76">
        <f>IF(AND(AC113&gt;AA113,$AL93&gt;8,$AL92&gt;3,ISNUMBER(AA113),ISNUMBER(AC113)),1,0)</f>
        <v>0</v>
      </c>
      <c r="AD119" s="75">
        <f>IF(AND(AD113&gt;AF113,$AL93&gt;9,$AL92&gt;3,ISNUMBER(AD113),ISNUMBER(AF113)),1,0)</f>
        <v>0</v>
      </c>
      <c r="AE119" s="75"/>
      <c r="AF119" s="76">
        <f>IF(AND(AF113&gt;AD113,$AL93&gt;9,$AL92&gt;3,ISNUMBER(AD113),ISNUMBER(AF113)),1,0)</f>
        <v>0</v>
      </c>
    </row>
    <row r="120" spans="1:44" s="74" customFormat="1" ht="12.75" hidden="1" customHeight="1" x14ac:dyDescent="0.25">
      <c r="A120" s="74" t="s">
        <v>57</v>
      </c>
      <c r="B120" s="75">
        <f>IF(AND(B114&gt;D114,$AL93&gt;0,$AL92&gt;4,ISNUMBER(B114),ISNUMBER(D114)),1,0)</f>
        <v>0</v>
      </c>
      <c r="C120" s="75"/>
      <c r="D120" s="76">
        <f>IF(AND(D114&gt;B114,$AL93&gt;0,$AL92&gt;4,ISNUMBER(B114),ISNUMBER(D114)),1,0)</f>
        <v>0</v>
      </c>
      <c r="E120" s="75">
        <f>IF(AND(E114&gt;G114,$AL93&gt;1,$AL92&gt;4,ISNUMBER(E114),ISNUMBER(G114)),1,0)</f>
        <v>0</v>
      </c>
      <c r="F120" s="75"/>
      <c r="G120" s="76">
        <f>IF(AND(G114&gt;E114,$AL93&gt;1,$AL92&gt;4,ISNUMBER(E114),ISNUMBER(G114)),1,0)</f>
        <v>0</v>
      </c>
      <c r="H120" s="75">
        <f>IF(AND(H114&gt;J114,$AL93&gt;2,$AL92&gt;4,ISNUMBER(H114),ISNUMBER(J114)),1,0)</f>
        <v>0</v>
      </c>
      <c r="I120" s="75"/>
      <c r="J120" s="76">
        <f>IF(AND(J114&gt;H114,$AL93&gt;2,$AL92&gt;4,ISNUMBER(H114),ISNUMBER(J114)),1,0)</f>
        <v>0</v>
      </c>
      <c r="K120" s="77"/>
      <c r="L120" s="75">
        <f>IF(AND(L114&gt;N114,$AL93&gt;3,$AL92&gt;4,ISNUMBER(L114),ISNUMBER(N114)),1,0)</f>
        <v>0</v>
      </c>
      <c r="M120" s="75"/>
      <c r="N120" s="76">
        <f>IF(AND(N114&gt;L114,$AL93&gt;3,$AL92&gt;4,ISNUMBER(L114),ISNUMBER(N114)),1,0)</f>
        <v>0</v>
      </c>
      <c r="O120" s="75">
        <f>IF(AND(O114&gt;Q114,$AL93&gt;4,$AL92&gt;4,ISNUMBER(O114),ISNUMBER(Q114)),1,0)</f>
        <v>0</v>
      </c>
      <c r="P120" s="75"/>
      <c r="Q120" s="76">
        <f>IF(AND(Q114&gt;O114,$AL93&gt;4,$AL92&gt;4,ISNUMBER(O114),ISNUMBER(Q114)),1,0)</f>
        <v>0</v>
      </c>
      <c r="R120" s="75">
        <f>IF(AND(R114&gt;T114,$AL93&gt;5,$AL92&gt;4,ISNUMBER(R114),ISNUMBER(T114)),1,0)</f>
        <v>0</v>
      </c>
      <c r="S120" s="75"/>
      <c r="T120" s="76">
        <f>IF(AND(T114&gt;R114,$AL93&gt;5,$AL92&gt;4,ISNUMBER(R114),ISNUMBER(T114)),1,0)</f>
        <v>0</v>
      </c>
      <c r="U120" s="75">
        <f>IF(AND(U114&gt;W114,$AL93&gt;6,$AL92&gt;4,ISNUMBER(U114),ISNUMBER(W114)),1,0)</f>
        <v>0</v>
      </c>
      <c r="V120" s="75"/>
      <c r="W120" s="76">
        <f>IF(AND(W114&gt;U114,$AL93&gt;6,$AL92&gt;4,ISNUMBER(U114),ISNUMBER(W114)),1,0)</f>
        <v>0</v>
      </c>
      <c r="X120" s="75">
        <f>IF(AND(X114&gt;Z114,$AL93&gt;7,$AL92&gt;4,ISNUMBER(X114),ISNUMBER(Z114)),1,0)</f>
        <v>0</v>
      </c>
      <c r="Y120" s="75"/>
      <c r="Z120" s="76">
        <f>IF(AND(Z114&gt;X114,$AL93&gt;7,$AL92&gt;4,ISNUMBER(X114),ISNUMBER(Z114)),1,0)</f>
        <v>0</v>
      </c>
      <c r="AA120" s="75">
        <f>IF(AND(AA114&gt;AC114,$AL93&gt;8,$AL92&gt;4,ISNUMBER(AA114),ISNUMBER(AC114)),1,0)</f>
        <v>0</v>
      </c>
      <c r="AB120" s="75"/>
      <c r="AC120" s="76">
        <f>IF(AND(AC114&gt;AA114,$AL93&gt;8,$AL92&gt;4,ISNUMBER(AA114),ISNUMBER(AC114)),1,0)</f>
        <v>0</v>
      </c>
      <c r="AD120" s="75">
        <f>IF(AND(AD114&gt;AF114,$AL93&gt;9,$AL92&gt;4,ISNUMBER(AD114),ISNUMBER(AF114)),1,0)</f>
        <v>0</v>
      </c>
      <c r="AE120" s="75"/>
      <c r="AF120" s="76">
        <f>IF(AND(AF114&gt;AD114,$AL93&gt;9,$AL92&gt;4,ISNUMBER(AD114),ISNUMBER(AF114)),1,0)</f>
        <v>0</v>
      </c>
    </row>
    <row r="121" spans="1:44" s="74" customFormat="1" ht="38.25" hidden="1" customHeight="1" x14ac:dyDescent="0.25">
      <c r="A121" s="78" t="s">
        <v>58</v>
      </c>
      <c r="B121" s="74">
        <f>SUM(B116:B120)</f>
        <v>1</v>
      </c>
      <c r="D121" s="77">
        <f>SUM(D116:D120)</f>
        <v>0</v>
      </c>
      <c r="E121" s="74">
        <f>SUM(E116:E120)</f>
        <v>1</v>
      </c>
      <c r="G121" s="77">
        <f>SUM(G116:G120)</f>
        <v>0</v>
      </c>
      <c r="H121" s="74">
        <f>SUM(H116:H120)</f>
        <v>0</v>
      </c>
      <c r="J121" s="77">
        <f>SUM(J116:J120)</f>
        <v>1</v>
      </c>
      <c r="K121" s="77"/>
      <c r="L121" s="74">
        <f>SUM(L116:L120)</f>
        <v>1</v>
      </c>
      <c r="N121" s="77">
        <f>SUM(N116:N120)</f>
        <v>0</v>
      </c>
      <c r="O121" s="74">
        <f>SUM(O116:O120)</f>
        <v>1</v>
      </c>
      <c r="Q121" s="77">
        <f>SUM(Q116:Q120)</f>
        <v>0</v>
      </c>
      <c r="R121" s="74">
        <f>SUM(R116:R120)</f>
        <v>1</v>
      </c>
      <c r="T121" s="77">
        <f>SUM(T116:T120)</f>
        <v>0</v>
      </c>
      <c r="U121" s="74">
        <f>SUM(U116:U120)</f>
        <v>0</v>
      </c>
      <c r="W121" s="77">
        <f>SUM(W116:W120)</f>
        <v>0</v>
      </c>
      <c r="X121" s="74">
        <f>SUM(X116:X120)</f>
        <v>0</v>
      </c>
      <c r="Z121" s="77">
        <f>SUM(Z116:Z120)</f>
        <v>0</v>
      </c>
      <c r="AA121" s="74">
        <f>SUM(AA116:AA120)</f>
        <v>0</v>
      </c>
      <c r="AC121" s="77">
        <f>SUM(AC116:AC120)</f>
        <v>0</v>
      </c>
      <c r="AD121" s="74">
        <f>SUM(AD116:AD120)</f>
        <v>0</v>
      </c>
      <c r="AF121" s="77">
        <f>SUM(AF116:AF120)</f>
        <v>0</v>
      </c>
    </row>
    <row r="122" spans="1:44" s="74" customFormat="1" ht="25.5" hidden="1" customHeight="1" x14ac:dyDescent="0.25">
      <c r="A122" s="78" t="s">
        <v>59</v>
      </c>
      <c r="B122" s="74">
        <f>IF(B121&gt;D121,IF(C156=AL92,1,IF(C156=AL92-1,1,0)),0)</f>
        <v>1</v>
      </c>
      <c r="C122" s="74">
        <f>B122+D122</f>
        <v>1</v>
      </c>
      <c r="D122" s="77">
        <f>IF(D121&gt;B121,IF(C156=AL92,1,IF(C156=AL92-1,1,0)),0)</f>
        <v>0</v>
      </c>
      <c r="E122" s="74">
        <f>IF(E121&gt;G121,IF(F156=AL92,1,IF(F156=AL92-1,1,0)),0)</f>
        <v>1</v>
      </c>
      <c r="F122" s="74">
        <f>E122+G122</f>
        <v>1</v>
      </c>
      <c r="G122" s="77">
        <f>IF(G121&gt;E121,IF(F156=AL92,1,IF(F156=AL92-1,1,0)),0)</f>
        <v>0</v>
      </c>
      <c r="H122" s="74">
        <f>IF(H121&gt;J121,IF(I156=AL92,1,IF(I156=AL92-1,1,0)),0)</f>
        <v>0</v>
      </c>
      <c r="I122" s="74">
        <f>H122+J122</f>
        <v>1</v>
      </c>
      <c r="J122" s="77">
        <f>IF(J121&gt;H121,IF(I156=AL92,1,IF(I156=AL92-1,1,0)),0)</f>
        <v>1</v>
      </c>
      <c r="K122" s="77"/>
      <c r="L122" s="74">
        <f>IF(L121&gt;N121,IF(M156=AL92,1,IF(M156=AL92-1,1,0)),0)</f>
        <v>1</v>
      </c>
      <c r="M122" s="74">
        <f>L122+N122</f>
        <v>1</v>
      </c>
      <c r="N122" s="77">
        <f>IF(N121&gt;L121,IF(M156=AL92,1,IF(M156=AL92-1,1,0)),0)</f>
        <v>0</v>
      </c>
      <c r="O122" s="74">
        <f>IF(O121&gt;Q121,IF(P156=AL92,1,IF(P156=AL92-1,1,0)),0)</f>
        <v>1</v>
      </c>
      <c r="P122" s="74">
        <f>O122+Q122</f>
        <v>1</v>
      </c>
      <c r="Q122" s="77">
        <f>IF(Q121&gt;O121,IF(P156=AL92,1,IF(P156=AL92-1,1,0)),0)</f>
        <v>0</v>
      </c>
      <c r="R122" s="74">
        <f>IF(R121&gt;T121,IF(S156=AL92,1,IF(S156=AL92-1,1,0)),0)</f>
        <v>1</v>
      </c>
      <c r="S122" s="74">
        <f>R122+T122</f>
        <v>1</v>
      </c>
      <c r="T122" s="77">
        <f>IF(T121&gt;R121,IF(S156=AL92,1,IF(S156=AL92-1,1,0)),0)</f>
        <v>0</v>
      </c>
      <c r="U122" s="74">
        <f>IF(U121&gt;W121,IF(V156=AL92,1,IF(V156=AL92-1,1,0)),0)</f>
        <v>0</v>
      </c>
      <c r="V122" s="74">
        <f>U122+W122</f>
        <v>0</v>
      </c>
      <c r="W122" s="77">
        <f>IF(W121&gt;U121,IF(V156=AL92,1,IF(V156=AL92-1,1,0)),0)</f>
        <v>0</v>
      </c>
      <c r="X122" s="74">
        <f>IF(X121&gt;Z121,IF(Y156=AL92,1,IF(Y156=AL92-1,1,0)),0)</f>
        <v>0</v>
      </c>
      <c r="Y122" s="74">
        <f>X122+Z122</f>
        <v>0</v>
      </c>
      <c r="Z122" s="77">
        <f>IF(Z121&gt;X121,IF(Y156=AL92,1,IF(Y156=AL92-1,1,0)),0)</f>
        <v>0</v>
      </c>
      <c r="AA122" s="74">
        <f>IF(AA121&gt;AC121,IF(AB156=AL92,1,IF(AB156=AL92-1,1,0)),0)</f>
        <v>0</v>
      </c>
      <c r="AB122" s="74">
        <f>AA122+AC122</f>
        <v>0</v>
      </c>
      <c r="AC122" s="77">
        <f>IF(AC121&gt;AA121,IF(AB156=AL92,1,IF(AB156=AL92-1,1,0)),0)</f>
        <v>0</v>
      </c>
      <c r="AD122" s="74">
        <f>IF(AD121&gt;AF121,IF(AE156=AL92,1,IF(AE156=AL92-1,1,0)),0)</f>
        <v>0</v>
      </c>
      <c r="AE122" s="74">
        <f>AD122+AF122</f>
        <v>0</v>
      </c>
      <c r="AF122" s="77">
        <f>IF(AF121&gt;AD121,IF(AE156=AL92,1,IF(AE156=AL92-1,1,0)),0)</f>
        <v>0</v>
      </c>
    </row>
    <row r="123" spans="1:44" s="74" customFormat="1" ht="25.5" hidden="1" customHeight="1" x14ac:dyDescent="0.25">
      <c r="A123" s="78"/>
      <c r="D123" s="77"/>
      <c r="G123" s="77"/>
      <c r="J123" s="77"/>
      <c r="K123" s="77"/>
      <c r="N123" s="77"/>
      <c r="Q123" s="77"/>
      <c r="T123" s="77"/>
      <c r="W123" s="77"/>
      <c r="Z123" s="77"/>
      <c r="AC123" s="77"/>
      <c r="AF123" s="77"/>
    </row>
    <row r="124" spans="1:44" s="74" customFormat="1" ht="12.75" hidden="1" customHeight="1" x14ac:dyDescent="0.25">
      <c r="A124" s="74" t="s">
        <v>60</v>
      </c>
      <c r="B124" s="74">
        <f>IF(B116=1,B110,0)</f>
        <v>26</v>
      </c>
      <c r="D124" s="77">
        <f t="shared" ref="D124:E128" si="10">IF(D116=1,D110,0)</f>
        <v>0</v>
      </c>
      <c r="E124" s="74">
        <f t="shared" si="10"/>
        <v>21</v>
      </c>
      <c r="G124" s="77">
        <f t="shared" ref="G124:H128" si="11">IF(G116=1,G110,0)</f>
        <v>0</v>
      </c>
      <c r="H124" s="74">
        <f t="shared" si="11"/>
        <v>0</v>
      </c>
      <c r="J124" s="77">
        <f>IF(J116=1,J110,0)</f>
        <v>23</v>
      </c>
      <c r="K124" s="77"/>
      <c r="L124" s="74">
        <f>IF(L116=1,L110,0)</f>
        <v>23</v>
      </c>
      <c r="N124" s="77">
        <f t="shared" ref="N124:O128" si="12">IF(N116=1,N110,0)</f>
        <v>0</v>
      </c>
      <c r="O124" s="74">
        <f t="shared" si="12"/>
        <v>20</v>
      </c>
      <c r="Q124" s="77">
        <f t="shared" ref="Q124:R128" si="13">IF(Q116=1,Q110,0)</f>
        <v>0</v>
      </c>
      <c r="R124" s="74">
        <f t="shared" si="13"/>
        <v>23</v>
      </c>
      <c r="T124" s="77">
        <f t="shared" ref="T124:U128" si="14">IF(T116=1,T110,0)</f>
        <v>0</v>
      </c>
      <c r="U124" s="74">
        <f t="shared" si="14"/>
        <v>0</v>
      </c>
      <c r="W124" s="77">
        <f t="shared" ref="W124:X128" si="15">IF(W116=1,W110,0)</f>
        <v>0</v>
      </c>
      <c r="X124" s="74">
        <f t="shared" si="15"/>
        <v>0</v>
      </c>
      <c r="Z124" s="77">
        <f t="shared" ref="Z124:AA128" si="16">IF(Z116=1,Z110,0)</f>
        <v>0</v>
      </c>
      <c r="AA124" s="74">
        <f t="shared" si="16"/>
        <v>0</v>
      </c>
      <c r="AC124" s="77">
        <f t="shared" ref="AC124:AD128" si="17">IF(AC116=1,AC110,0)</f>
        <v>0</v>
      </c>
      <c r="AD124" s="74">
        <f t="shared" si="17"/>
        <v>0</v>
      </c>
      <c r="AF124" s="77">
        <f>IF(AF116=1,AF110,0)</f>
        <v>0</v>
      </c>
    </row>
    <row r="125" spans="1:44" s="74" customFormat="1" ht="12.75" hidden="1" customHeight="1" x14ac:dyDescent="0.25">
      <c r="A125" s="74" t="s">
        <v>61</v>
      </c>
      <c r="B125" s="74">
        <f>IF(B117=1,B111,0)</f>
        <v>0</v>
      </c>
      <c r="D125" s="77">
        <f t="shared" si="10"/>
        <v>0</v>
      </c>
      <c r="E125" s="74">
        <f t="shared" si="10"/>
        <v>0</v>
      </c>
      <c r="G125" s="77">
        <f t="shared" si="11"/>
        <v>0</v>
      </c>
      <c r="H125" s="74">
        <f t="shared" si="11"/>
        <v>0</v>
      </c>
      <c r="J125" s="77">
        <f>IF(J117=1,J111,0)</f>
        <v>0</v>
      </c>
      <c r="K125" s="77"/>
      <c r="L125" s="74">
        <f>IF(L117=1,L111,0)</f>
        <v>0</v>
      </c>
      <c r="N125" s="77">
        <f t="shared" si="12"/>
        <v>0</v>
      </c>
      <c r="O125" s="74">
        <f t="shared" si="12"/>
        <v>0</v>
      </c>
      <c r="Q125" s="77">
        <f t="shared" si="13"/>
        <v>0</v>
      </c>
      <c r="R125" s="74">
        <f t="shared" si="13"/>
        <v>0</v>
      </c>
      <c r="T125" s="77">
        <f t="shared" si="14"/>
        <v>0</v>
      </c>
      <c r="U125" s="74">
        <f t="shared" si="14"/>
        <v>0</v>
      </c>
      <c r="W125" s="77">
        <f t="shared" si="15"/>
        <v>0</v>
      </c>
      <c r="X125" s="74">
        <f t="shared" si="15"/>
        <v>0</v>
      </c>
      <c r="Z125" s="77">
        <f t="shared" si="16"/>
        <v>0</v>
      </c>
      <c r="AA125" s="74">
        <f t="shared" si="16"/>
        <v>0</v>
      </c>
      <c r="AC125" s="77">
        <f t="shared" si="17"/>
        <v>0</v>
      </c>
      <c r="AD125" s="74">
        <f t="shared" si="17"/>
        <v>0</v>
      </c>
      <c r="AF125" s="77">
        <f>IF(AF117=1,AF111,0)</f>
        <v>0</v>
      </c>
    </row>
    <row r="126" spans="1:44" s="74" customFormat="1" ht="12.75" hidden="1" customHeight="1" x14ac:dyDescent="0.25">
      <c r="A126" s="74" t="s">
        <v>62</v>
      </c>
      <c r="B126" s="74">
        <f>IF(B118=1,B112,0)</f>
        <v>0</v>
      </c>
      <c r="D126" s="77">
        <f t="shared" si="10"/>
        <v>0</v>
      </c>
      <c r="E126" s="74">
        <f t="shared" si="10"/>
        <v>0</v>
      </c>
      <c r="G126" s="77">
        <f t="shared" si="11"/>
        <v>0</v>
      </c>
      <c r="H126" s="74">
        <f t="shared" si="11"/>
        <v>0</v>
      </c>
      <c r="J126" s="77">
        <f>IF(J118=1,J112,0)</f>
        <v>0</v>
      </c>
      <c r="K126" s="77"/>
      <c r="L126" s="74">
        <f>IF(L118=1,L112,0)</f>
        <v>0</v>
      </c>
      <c r="N126" s="77">
        <f t="shared" si="12"/>
        <v>0</v>
      </c>
      <c r="O126" s="74">
        <f t="shared" si="12"/>
        <v>0</v>
      </c>
      <c r="Q126" s="77">
        <f t="shared" si="13"/>
        <v>0</v>
      </c>
      <c r="R126" s="74">
        <f t="shared" si="13"/>
        <v>0</v>
      </c>
      <c r="T126" s="77">
        <f t="shared" si="14"/>
        <v>0</v>
      </c>
      <c r="U126" s="74">
        <f t="shared" si="14"/>
        <v>0</v>
      </c>
      <c r="W126" s="77">
        <f t="shared" si="15"/>
        <v>0</v>
      </c>
      <c r="X126" s="74">
        <f t="shared" si="15"/>
        <v>0</v>
      </c>
      <c r="Z126" s="77">
        <f t="shared" si="16"/>
        <v>0</v>
      </c>
      <c r="AA126" s="74">
        <f t="shared" si="16"/>
        <v>0</v>
      </c>
      <c r="AC126" s="77">
        <f t="shared" si="17"/>
        <v>0</v>
      </c>
      <c r="AD126" s="74">
        <f t="shared" si="17"/>
        <v>0</v>
      </c>
      <c r="AF126" s="77">
        <f>IF(AF118=1,AF112,0)</f>
        <v>0</v>
      </c>
    </row>
    <row r="127" spans="1:44" s="74" customFormat="1" ht="12.75" hidden="1" customHeight="1" x14ac:dyDescent="0.25">
      <c r="A127" s="74" t="s">
        <v>63</v>
      </c>
      <c r="B127" s="74">
        <f>IF(B119=1,B113,0)</f>
        <v>0</v>
      </c>
      <c r="D127" s="77">
        <f t="shared" si="10"/>
        <v>0</v>
      </c>
      <c r="E127" s="74">
        <f t="shared" si="10"/>
        <v>0</v>
      </c>
      <c r="G127" s="77">
        <f t="shared" si="11"/>
        <v>0</v>
      </c>
      <c r="H127" s="74">
        <f t="shared" si="11"/>
        <v>0</v>
      </c>
      <c r="J127" s="77">
        <f>IF(J119=1,J113,0)</f>
        <v>0</v>
      </c>
      <c r="K127" s="77"/>
      <c r="L127" s="74">
        <f>IF(L119=1,L113,0)</f>
        <v>0</v>
      </c>
      <c r="N127" s="77">
        <f t="shared" si="12"/>
        <v>0</v>
      </c>
      <c r="O127" s="74">
        <f t="shared" si="12"/>
        <v>0</v>
      </c>
      <c r="Q127" s="77">
        <f t="shared" si="13"/>
        <v>0</v>
      </c>
      <c r="R127" s="74">
        <f t="shared" si="13"/>
        <v>0</v>
      </c>
      <c r="T127" s="77">
        <f t="shared" si="14"/>
        <v>0</v>
      </c>
      <c r="U127" s="74">
        <f t="shared" si="14"/>
        <v>0</v>
      </c>
      <c r="W127" s="77">
        <f t="shared" si="15"/>
        <v>0</v>
      </c>
      <c r="X127" s="74">
        <f t="shared" si="15"/>
        <v>0</v>
      </c>
      <c r="Z127" s="77">
        <f t="shared" si="16"/>
        <v>0</v>
      </c>
      <c r="AA127" s="74">
        <f t="shared" si="16"/>
        <v>0</v>
      </c>
      <c r="AC127" s="77">
        <f t="shared" si="17"/>
        <v>0</v>
      </c>
      <c r="AD127" s="74">
        <f t="shared" si="17"/>
        <v>0</v>
      </c>
      <c r="AF127" s="77">
        <f>IF(AF119=1,AF113,0)</f>
        <v>0</v>
      </c>
    </row>
    <row r="128" spans="1:44" s="74" customFormat="1" ht="12.75" hidden="1" customHeight="1" x14ac:dyDescent="0.25">
      <c r="A128" s="74" t="s">
        <v>64</v>
      </c>
      <c r="B128" s="74">
        <f>IF(B120=1,B114,0)</f>
        <v>0</v>
      </c>
      <c r="D128" s="77">
        <f t="shared" si="10"/>
        <v>0</v>
      </c>
      <c r="E128" s="74">
        <f t="shared" si="10"/>
        <v>0</v>
      </c>
      <c r="G128" s="77">
        <f t="shared" si="11"/>
        <v>0</v>
      </c>
      <c r="H128" s="74">
        <f t="shared" si="11"/>
        <v>0</v>
      </c>
      <c r="J128" s="77">
        <f>IF(J120=1,J114,0)</f>
        <v>0</v>
      </c>
      <c r="K128" s="77"/>
      <c r="L128" s="74">
        <f>IF(L120=1,L114,0)</f>
        <v>0</v>
      </c>
      <c r="N128" s="77">
        <f t="shared" si="12"/>
        <v>0</v>
      </c>
      <c r="O128" s="74">
        <f t="shared" si="12"/>
        <v>0</v>
      </c>
      <c r="Q128" s="77">
        <f t="shared" si="13"/>
        <v>0</v>
      </c>
      <c r="R128" s="74">
        <f t="shared" si="13"/>
        <v>0</v>
      </c>
      <c r="T128" s="77">
        <f t="shared" si="14"/>
        <v>0</v>
      </c>
      <c r="U128" s="74">
        <f t="shared" si="14"/>
        <v>0</v>
      </c>
      <c r="W128" s="77">
        <f t="shared" si="15"/>
        <v>0</v>
      </c>
      <c r="X128" s="74">
        <f t="shared" si="15"/>
        <v>0</v>
      </c>
      <c r="Z128" s="77">
        <f t="shared" si="16"/>
        <v>0</v>
      </c>
      <c r="AA128" s="74">
        <f t="shared" si="16"/>
        <v>0</v>
      </c>
      <c r="AC128" s="77">
        <f t="shared" si="17"/>
        <v>0</v>
      </c>
      <c r="AD128" s="74">
        <f t="shared" si="17"/>
        <v>0</v>
      </c>
      <c r="AF128" s="77">
        <f>IF(AF120=1,AF114,0)</f>
        <v>0</v>
      </c>
    </row>
    <row r="129" spans="1:38" s="74" customFormat="1" ht="38.25" hidden="1" customHeight="1" x14ac:dyDescent="0.25">
      <c r="A129" s="78" t="s">
        <v>65</v>
      </c>
      <c r="B129" s="74">
        <f>SUM(B124:D128)</f>
        <v>26</v>
      </c>
      <c r="D129" s="77"/>
      <c r="E129" s="74">
        <f>SUM(E124:G128)</f>
        <v>21</v>
      </c>
      <c r="G129" s="77"/>
      <c r="H129" s="74">
        <f>SUM(H124:J128)</f>
        <v>23</v>
      </c>
      <c r="J129" s="77"/>
      <c r="K129" s="77"/>
      <c r="L129" s="74">
        <f>SUM(L124:N128)</f>
        <v>23</v>
      </c>
      <c r="N129" s="77"/>
      <c r="O129" s="74">
        <f>SUM(O124:Q128)</f>
        <v>20</v>
      </c>
      <c r="Q129" s="77"/>
      <c r="R129" s="74">
        <f>SUM(R124:T128)</f>
        <v>23</v>
      </c>
      <c r="T129" s="77"/>
      <c r="U129" s="74">
        <f>SUM(U124:W128)</f>
        <v>0</v>
      </c>
      <c r="W129" s="77"/>
      <c r="X129" s="74">
        <f>SUM(X124:Z128)</f>
        <v>0</v>
      </c>
      <c r="Z129" s="77"/>
      <c r="AA129" s="74">
        <f>SUM(AA124:AC128)</f>
        <v>0</v>
      </c>
      <c r="AC129" s="77"/>
      <c r="AD129" s="74">
        <f>SUM(AD124:AF128)</f>
        <v>0</v>
      </c>
      <c r="AF129" s="77"/>
    </row>
    <row r="130" spans="1:38" s="74" customFormat="1" ht="38.25" hidden="1" customHeight="1" x14ac:dyDescent="0.25">
      <c r="A130" s="74" t="s">
        <v>66</v>
      </c>
      <c r="D130" s="77"/>
      <c r="G130" s="77"/>
      <c r="J130" s="77"/>
      <c r="K130" s="77"/>
      <c r="N130" s="77"/>
      <c r="Q130" s="77"/>
      <c r="T130" s="77"/>
      <c r="W130" s="77"/>
      <c r="Z130" s="77"/>
      <c r="AC130" s="77"/>
      <c r="AF130" s="77"/>
      <c r="AG130" s="78" t="s">
        <v>67</v>
      </c>
      <c r="AH130" s="74" t="s">
        <v>68</v>
      </c>
    </row>
    <row r="131" spans="1:38" s="74" customFormat="1" ht="12.75" hidden="1" customHeight="1" x14ac:dyDescent="0.25">
      <c r="A131" s="74" t="s">
        <v>69</v>
      </c>
      <c r="B131" s="74">
        <f>IF(B109=1,IF(B122=1,1,0),0)</f>
        <v>1</v>
      </c>
      <c r="D131" s="77">
        <f>IF(D109=1,IF(D122=1,1,0),0)</f>
        <v>0</v>
      </c>
      <c r="E131" s="74">
        <f>IF(E109=1,IF(E122=1,1,0),0)</f>
        <v>0</v>
      </c>
      <c r="G131" s="77">
        <f>IF(G109=1,IF(G122=1,1,0),0)</f>
        <v>0</v>
      </c>
      <c r="H131" s="74">
        <f>IF(H109=1,IF(H122=1,1,0),0)</f>
        <v>0</v>
      </c>
      <c r="J131" s="77">
        <f>IF(J109=1,IF(J122=1,1,0),0)</f>
        <v>0</v>
      </c>
      <c r="K131" s="77"/>
      <c r="L131" s="74">
        <f>IF(L109=1,IF(L122=1,1,0),0)</f>
        <v>1</v>
      </c>
      <c r="N131" s="77">
        <f>IF(N109=1,IF(N122=1,1,0),0)</f>
        <v>0</v>
      </c>
      <c r="O131" s="74">
        <f>IF(O109=1,IF(O122=1,1,0),0)</f>
        <v>0</v>
      </c>
      <c r="Q131" s="77">
        <f>IF(Q109=1,IF(Q122=1,1,0),0)</f>
        <v>0</v>
      </c>
      <c r="R131" s="74">
        <f>IF(R109=1,IF(R122=1,1,0),0)</f>
        <v>1</v>
      </c>
      <c r="T131" s="77">
        <f>IF(T109=1,IF(T122=1,1,0),0)</f>
        <v>0</v>
      </c>
      <c r="U131" s="74">
        <f>IF(U109=1,IF(U122=1,1,0),0)</f>
        <v>0</v>
      </c>
      <c r="W131" s="77">
        <f>IF(W109=1,IF(W122=1,1,0),0)</f>
        <v>0</v>
      </c>
      <c r="X131" s="74">
        <f>IF(X109=1,IF(X122=1,1,0),0)</f>
        <v>0</v>
      </c>
      <c r="Z131" s="77">
        <f>IF(Z109=1,IF(Z122=1,1,0),0)</f>
        <v>0</v>
      </c>
      <c r="AA131" s="74">
        <f>IF(AA109=1,IF(AA122=1,1,0),0)</f>
        <v>0</v>
      </c>
      <c r="AC131" s="77">
        <f>IF(AC109=1,IF(AC122=1,1,0),0)</f>
        <v>0</v>
      </c>
      <c r="AD131" s="74">
        <f>IF(AD109=1,IF(AD122=1,1,0),0)</f>
        <v>0</v>
      </c>
      <c r="AF131" s="77">
        <f>IF(AF109=1,IF(AF122=1,1,0),0)</f>
        <v>0</v>
      </c>
      <c r="AG131" s="74">
        <f>SUM(B131:AF131)</f>
        <v>3</v>
      </c>
      <c r="AH131" s="74">
        <f>AG137-AG131</f>
        <v>1</v>
      </c>
    </row>
    <row r="132" spans="1:38" s="74" customFormat="1" ht="12.75" hidden="1" customHeight="1" x14ac:dyDescent="0.25">
      <c r="A132" s="74" t="s">
        <v>70</v>
      </c>
      <c r="B132" s="74">
        <f>IF(B109=2,IF(B122=1,1,0),0)</f>
        <v>0</v>
      </c>
      <c r="D132" s="77">
        <f>IF(D109=2,IF(D122=1,1,0),0)</f>
        <v>0</v>
      </c>
      <c r="E132" s="74">
        <f>IF(E109=2,IF(E122=1,1,0),0)</f>
        <v>1</v>
      </c>
      <c r="G132" s="77">
        <f>IF(G109=2,IF(G122=1,1,0),0)</f>
        <v>0</v>
      </c>
      <c r="H132" s="74">
        <f>IF(H109=2,IF(H122=1,1,0),0)</f>
        <v>0</v>
      </c>
      <c r="J132" s="77">
        <f>IF(J109=2,IF(J122=1,1,0),0)</f>
        <v>1</v>
      </c>
      <c r="K132" s="77"/>
      <c r="L132" s="74">
        <f>IF(L109=2,IF(L122=1,1,0),0)</f>
        <v>0</v>
      </c>
      <c r="N132" s="77">
        <f>IF(N109=2,IF(N122=1,1,0),0)</f>
        <v>0</v>
      </c>
      <c r="O132" s="74">
        <f>IF(O109=2,IF(O122=1,1,0),0)</f>
        <v>1</v>
      </c>
      <c r="Q132" s="77">
        <f>IF(Q109=2,IF(Q122=1,1,0),0)</f>
        <v>0</v>
      </c>
      <c r="R132" s="74">
        <f>IF(R109=2,IF(R122=1,1,0),0)</f>
        <v>0</v>
      </c>
      <c r="T132" s="77">
        <f>IF(T109=2,IF(T122=1,1,0),0)</f>
        <v>0</v>
      </c>
      <c r="U132" s="74">
        <f>IF(U109=2,IF(U122=1,1,0),0)</f>
        <v>0</v>
      </c>
      <c r="W132" s="77">
        <f>IF(W109=2,IF(W122=1,1,0),0)</f>
        <v>0</v>
      </c>
      <c r="X132" s="74">
        <f>IF(X109=2,IF(X122=1,1,0),0)</f>
        <v>0</v>
      </c>
      <c r="Z132" s="77">
        <f>IF(Z109=2,IF(Z122=1,1,0),0)</f>
        <v>0</v>
      </c>
      <c r="AA132" s="74">
        <f>IF(AA109=2,IF(AA122=1,1,0),0)</f>
        <v>0</v>
      </c>
      <c r="AC132" s="77">
        <f>IF(AC109=2,IF(AC122=1,1,0),0)</f>
        <v>0</v>
      </c>
      <c r="AD132" s="74">
        <f>IF(AD109=2,IF(AD122=1,1,0),0)</f>
        <v>0</v>
      </c>
      <c r="AF132" s="77">
        <f>IF(AF109=2,IF(AF122=1,1,0),0)</f>
        <v>0</v>
      </c>
      <c r="AG132" s="74">
        <f>SUM(B132:AF132)</f>
        <v>3</v>
      </c>
      <c r="AH132" s="74">
        <f>AG138-AG132</f>
        <v>1</v>
      </c>
    </row>
    <row r="133" spans="1:38" s="74" customFormat="1" ht="12.75" hidden="1" customHeight="1" x14ac:dyDescent="0.25">
      <c r="A133" s="74" t="s">
        <v>71</v>
      </c>
      <c r="B133" s="74">
        <f>IF(B109=3,IF(B122=1,1,0),0)</f>
        <v>0</v>
      </c>
      <c r="D133" s="77">
        <f>IF(D109=3,IF(D122=1,1,0),0)</f>
        <v>0</v>
      </c>
      <c r="E133" s="74">
        <f>IF(E109=3,IF(E122=1,1,0),0)</f>
        <v>0</v>
      </c>
      <c r="G133" s="77">
        <f>IF(G109=3,IF(G122=1,1,0),0)</f>
        <v>0</v>
      </c>
      <c r="H133" s="74">
        <f>IF(H109=3,IF(H122=1,1,0),0)</f>
        <v>0</v>
      </c>
      <c r="J133" s="77">
        <f>IF(J109=3,IF(J122=1,1,0),0)</f>
        <v>0</v>
      </c>
      <c r="K133" s="77"/>
      <c r="L133" s="74">
        <f>IF(L109=3,IF(L122=1,1,0),0)</f>
        <v>0</v>
      </c>
      <c r="N133" s="77">
        <f>IF(N109=3,IF(N122=1,1,0),0)</f>
        <v>0</v>
      </c>
      <c r="O133" s="74">
        <f>IF(O109=3,IF(O122=1,1,0),0)</f>
        <v>0</v>
      </c>
      <c r="Q133" s="77">
        <f>IF(Q109=3,IF(Q122=1,1,0),0)</f>
        <v>0</v>
      </c>
      <c r="R133" s="74">
        <f>IF(R109=3,IF(R122=1,1,0),0)</f>
        <v>0</v>
      </c>
      <c r="T133" s="77">
        <f>IF(T109=3,IF(T122=1,1,0),0)</f>
        <v>0</v>
      </c>
      <c r="U133" s="74">
        <f>IF(U109=3,IF(U122=1,1,0),0)</f>
        <v>0</v>
      </c>
      <c r="W133" s="77">
        <f>IF(W109=3,IF(W122=1,1,0),0)</f>
        <v>0</v>
      </c>
      <c r="X133" s="74">
        <f>IF(X109=3,IF(X122=1,1,0),0)</f>
        <v>0</v>
      </c>
      <c r="Z133" s="77">
        <f>IF(Z109=3,IF(Z122=1,1,0),0)</f>
        <v>0</v>
      </c>
      <c r="AA133" s="74">
        <f>IF(AA109=3,IF(AA122=1,1,0),0)</f>
        <v>0</v>
      </c>
      <c r="AC133" s="77">
        <f>IF(AC109=3,IF(AC122=1,1,0),0)</f>
        <v>0</v>
      </c>
      <c r="AD133" s="74">
        <f>IF(AD109=3,IF(AD122=1,1,0),0)</f>
        <v>0</v>
      </c>
      <c r="AF133" s="77">
        <f>IF(AF109=3,IF(AF122=1,1,0),0)</f>
        <v>0</v>
      </c>
      <c r="AG133" s="74">
        <f>SUM(B133:AF133)</f>
        <v>0</v>
      </c>
      <c r="AH133" s="74">
        <f>AG139-AG133</f>
        <v>4</v>
      </c>
    </row>
    <row r="134" spans="1:38" s="74" customFormat="1" ht="12.75" hidden="1" customHeight="1" x14ac:dyDescent="0.25">
      <c r="A134" s="74" t="s">
        <v>72</v>
      </c>
      <c r="B134" s="74">
        <f>IF(B109=4,IF(B122=1,1,0),0)</f>
        <v>0</v>
      </c>
      <c r="D134" s="77">
        <f>IF(D109=4,IF(D122=1,1,0),0)</f>
        <v>0</v>
      </c>
      <c r="E134" s="74">
        <f>IF(E109=4,IF(E122=1,1,0),0)</f>
        <v>0</v>
      </c>
      <c r="G134" s="77">
        <f>IF(G109=4,IF(G122=1,1,0),0)</f>
        <v>0</v>
      </c>
      <c r="H134" s="74">
        <f>IF(H109=4,IF(H122=1,1,0),0)</f>
        <v>0</v>
      </c>
      <c r="J134" s="77">
        <f>IF(J109=4,IF(J122=1,1,0),0)</f>
        <v>0</v>
      </c>
      <c r="K134" s="77"/>
      <c r="L134" s="74">
        <f>IF(L109=4,IF(L122=1,1,0),0)</f>
        <v>0</v>
      </c>
      <c r="N134" s="77">
        <f>IF(N109=4,IF(N122=1,1,0),0)</f>
        <v>0</v>
      </c>
      <c r="O134" s="74">
        <f>IF(O109=4,IF(O122=1,1,0),0)</f>
        <v>0</v>
      </c>
      <c r="Q134" s="77">
        <f>IF(Q109=4,IF(Q122=1,1,0),0)</f>
        <v>0</v>
      </c>
      <c r="R134" s="74">
        <f>IF(R109=4,IF(R122=1,1,0),0)</f>
        <v>0</v>
      </c>
      <c r="T134" s="77">
        <f>IF(T109=4,IF(T122=1,1,0),0)</f>
        <v>0</v>
      </c>
      <c r="U134" s="74">
        <f>IF(U109=4,IF(U122=1,1,0),0)</f>
        <v>0</v>
      </c>
      <c r="W134" s="77">
        <f>IF(W109=4,IF(W122=1,1,0),0)</f>
        <v>0</v>
      </c>
      <c r="X134" s="74">
        <f>IF(X109=4,IF(X122=1,1,0),0)</f>
        <v>0</v>
      </c>
      <c r="Z134" s="77">
        <f>IF(Z109=4,IF(Z122=1,1,0),0)</f>
        <v>0</v>
      </c>
      <c r="AA134" s="74">
        <f>IF(AA109=4,IF(AA122=1,1,0),0)</f>
        <v>0</v>
      </c>
      <c r="AC134" s="77">
        <f>IF(AC109=4,IF(AC122=1,1,0),0)</f>
        <v>0</v>
      </c>
      <c r="AD134" s="74">
        <f>IF(AD109=4,IF(AD122=1,1,0),0)</f>
        <v>0</v>
      </c>
      <c r="AF134" s="77">
        <f>IF(AF109=4,IF(AF122=1,1,0),0)</f>
        <v>0</v>
      </c>
      <c r="AG134" s="74">
        <f>SUM(B134:AF134)</f>
        <v>0</v>
      </c>
      <c r="AH134" s="74">
        <f>AG140-AG134</f>
        <v>0</v>
      </c>
    </row>
    <row r="135" spans="1:38" s="74" customFormat="1" ht="12.75" hidden="1" customHeight="1" x14ac:dyDescent="0.25">
      <c r="A135" s="74" t="s">
        <v>73</v>
      </c>
      <c r="B135" s="74">
        <f>IF(B109=5,IF(B122=1,1,0),0)</f>
        <v>0</v>
      </c>
      <c r="D135" s="77">
        <f>IF(D109=5,IF(D122=1,1,0),0)</f>
        <v>0</v>
      </c>
      <c r="E135" s="74">
        <f>IF(E109=5,IF(E122=1,1,0),0)</f>
        <v>0</v>
      </c>
      <c r="G135" s="77">
        <f>IF(G109=5,IF(G122=1,1,0),0)</f>
        <v>0</v>
      </c>
      <c r="H135" s="74">
        <f>IF(H109=5,IF(H122=1,1,0),0)</f>
        <v>0</v>
      </c>
      <c r="J135" s="77">
        <f>IF(J109=5,IF(J122=1,1,0),0)</f>
        <v>0</v>
      </c>
      <c r="K135" s="77"/>
      <c r="L135" s="74">
        <f>IF(L109=5,IF(L122=1,1,0),0)</f>
        <v>0</v>
      </c>
      <c r="N135" s="77">
        <f>IF(N109=5,IF(N122=1,1,0),0)</f>
        <v>0</v>
      </c>
      <c r="O135" s="74">
        <f>IF(O109=5,IF(O122=1,1,0),0)</f>
        <v>0</v>
      </c>
      <c r="Q135" s="77">
        <f>IF(Q109=5,IF(Q122=1,1,0),0)</f>
        <v>0</v>
      </c>
      <c r="R135" s="74">
        <f>IF(R109=5,IF(R122=1,1,0),0)</f>
        <v>0</v>
      </c>
      <c r="T135" s="77">
        <f>IF(T109=5,IF(T122=1,1,0),0)</f>
        <v>0</v>
      </c>
      <c r="U135" s="74">
        <f>IF(U109=5,IF(U122=1,1,0),0)</f>
        <v>0</v>
      </c>
      <c r="W135" s="77">
        <f>IF(W109=5,IF(W122=1,1,0),0)</f>
        <v>0</v>
      </c>
      <c r="X135" s="74">
        <f>IF(X109=5,IF(X122=1,1,0),0)</f>
        <v>0</v>
      </c>
      <c r="Z135" s="77">
        <f>IF(Z109=5,IF(Z122=1,1,0),0)</f>
        <v>0</v>
      </c>
      <c r="AA135" s="74">
        <f>IF(AA109=5,IF(AA122=1,1,0),0)</f>
        <v>0</v>
      </c>
      <c r="AC135" s="77">
        <f>IF(AC109=5,IF(AC122=1,1,0),0)</f>
        <v>0</v>
      </c>
      <c r="AD135" s="74">
        <f>IF(AD109=5,IF(AD122=1,1,0),0)</f>
        <v>0</v>
      </c>
      <c r="AF135" s="77">
        <f>IF(AF109=5,IF(AF122=1,1,0),0)</f>
        <v>0</v>
      </c>
      <c r="AG135" s="74">
        <f>SUM(B135:AF135)</f>
        <v>0</v>
      </c>
      <c r="AH135" s="74">
        <f>AG141-AG135</f>
        <v>0</v>
      </c>
    </row>
    <row r="136" spans="1:38" s="74" customFormat="1" ht="38.25" hidden="1" customHeight="1" x14ac:dyDescent="0.25">
      <c r="A136" s="78"/>
      <c r="D136" s="77"/>
      <c r="G136" s="77"/>
      <c r="J136" s="77"/>
      <c r="K136" s="77"/>
      <c r="N136" s="77"/>
      <c r="Q136" s="77"/>
      <c r="T136" s="77"/>
      <c r="W136" s="77"/>
      <c r="Z136" s="77"/>
      <c r="AC136" s="77"/>
      <c r="AF136" s="77"/>
      <c r="AG136" s="78" t="s">
        <v>74</v>
      </c>
    </row>
    <row r="137" spans="1:38" s="74" customFormat="1" ht="12.75" hidden="1" customHeight="1" x14ac:dyDescent="0.25">
      <c r="A137" s="74" t="s">
        <v>75</v>
      </c>
      <c r="B137" s="74">
        <f>IF(B109=1,IF(C122=1,1,0),0)</f>
        <v>1</v>
      </c>
      <c r="D137" s="77">
        <f>IF(D109=1,IF(C122=1,1,0),0)</f>
        <v>0</v>
      </c>
      <c r="E137" s="74">
        <f>IF(E109=1,IF(F122=1,1,0),0)</f>
        <v>0</v>
      </c>
      <c r="G137" s="77">
        <f>IF(G109=1,IF(F122=1,1,0),0)</f>
        <v>0</v>
      </c>
      <c r="H137" s="74">
        <f>IF(H109=1,IF(I122=1,1,0),0)</f>
        <v>1</v>
      </c>
      <c r="J137" s="77">
        <f>IF(J109=1,IF(I122=1,1,0),0)</f>
        <v>0</v>
      </c>
      <c r="K137" s="77"/>
      <c r="L137" s="74">
        <f>IF(L109=1,IF(M122=1,1,0),0)</f>
        <v>1</v>
      </c>
      <c r="N137" s="77">
        <f>IF(N109=1,IF(M122=1,1,0),0)</f>
        <v>0</v>
      </c>
      <c r="O137" s="74">
        <f>IF(O109=1,IF(P122=1,1,0),0)</f>
        <v>0</v>
      </c>
      <c r="Q137" s="77">
        <f>IF(Q109=1,IF(P122=1,1,0),0)</f>
        <v>0</v>
      </c>
      <c r="R137" s="74">
        <f>IF(R109=1,IF(S122=1,1,0),0)</f>
        <v>1</v>
      </c>
      <c r="T137" s="77">
        <f>IF(T109=1,IF(S122=1,1,0),0)</f>
        <v>0</v>
      </c>
      <c r="U137" s="74">
        <f>IF(U109=1,IF(V122=1,1,0),0)</f>
        <v>0</v>
      </c>
      <c r="W137" s="77">
        <f>IF(W109=1,IF(V122=1,1,0),0)</f>
        <v>0</v>
      </c>
      <c r="X137" s="74">
        <f>IF(X109=1,IF(Y122=1,1,0),0)</f>
        <v>0</v>
      </c>
      <c r="Z137" s="77">
        <f>IF(Z109=1,IF(Y122=1,1,0),0)</f>
        <v>0</v>
      </c>
      <c r="AA137" s="74">
        <f>IF(AA109=1,IF(AB122=1,1,0),0)</f>
        <v>0</v>
      </c>
      <c r="AC137" s="77">
        <f>IF(AC109=1,IF(AB122=1,1,0),0)</f>
        <v>0</v>
      </c>
      <c r="AD137" s="74">
        <f>IF(AD109=1,IF(AE122=1,1,0),0)</f>
        <v>0</v>
      </c>
      <c r="AF137" s="77">
        <f>IF(AF109=1,IF(AE122=1,1,0),0)</f>
        <v>0</v>
      </c>
      <c r="AG137" s="74">
        <f>SUM(B137:AF137)</f>
        <v>4</v>
      </c>
    </row>
    <row r="138" spans="1:38" s="74" customFormat="1" ht="12.75" hidden="1" customHeight="1" x14ac:dyDescent="0.25">
      <c r="A138" s="74" t="s">
        <v>76</v>
      </c>
      <c r="B138" s="74">
        <f>IF(B109=2,IF(C122=1,1,0),0)</f>
        <v>0</v>
      </c>
      <c r="D138" s="77">
        <f>IF(D109=2,IF(C122=1,1,0),0)</f>
        <v>0</v>
      </c>
      <c r="E138" s="74">
        <f>IF(E109=2,IF(F122=1,1,0),0)</f>
        <v>1</v>
      </c>
      <c r="G138" s="77">
        <f>IF(G109=2,IF(F122=1,1,0),0)</f>
        <v>0</v>
      </c>
      <c r="H138" s="74">
        <f>IF(H109=2,IF(I122=1,1,0),0)</f>
        <v>0</v>
      </c>
      <c r="J138" s="77">
        <f>IF(J109=2,IF(I122=1,1,0),0)</f>
        <v>1</v>
      </c>
      <c r="K138" s="77"/>
      <c r="L138" s="74">
        <f>IF(L109=2,IF(M122=1,1,0),0)</f>
        <v>0</v>
      </c>
      <c r="N138" s="77">
        <f>IF(N109=2,IF(M122=1,1,0),0)</f>
        <v>0</v>
      </c>
      <c r="O138" s="74">
        <f>IF(O109=2,IF(P122=1,1,0),0)</f>
        <v>1</v>
      </c>
      <c r="Q138" s="77">
        <f>IF(Q109=2,IF(P122=1,1,0),0)</f>
        <v>0</v>
      </c>
      <c r="R138" s="74">
        <f>IF(R109=2,IF(S122=1,1,0),0)</f>
        <v>0</v>
      </c>
      <c r="T138" s="77">
        <f>IF(T109=2,IF(S122=1,1,0),0)</f>
        <v>1</v>
      </c>
      <c r="U138" s="74">
        <f>IF(U109=2,IF(V122=1,1,0),0)</f>
        <v>0</v>
      </c>
      <c r="W138" s="77">
        <f>IF(W109=2,IF(V122=1,1,0),0)</f>
        <v>0</v>
      </c>
      <c r="X138" s="74">
        <f>IF(X109=2,IF(Y122=1,1,0),0)</f>
        <v>0</v>
      </c>
      <c r="Z138" s="77">
        <f>IF(Z109=2,IF(Y122=1,1,0),0)</f>
        <v>0</v>
      </c>
      <c r="AA138" s="74">
        <f>IF(AA109=2,IF(AB122=1,1,0),0)</f>
        <v>0</v>
      </c>
      <c r="AC138" s="77">
        <f>IF(AC109=2,IF(AB122=1,1,0),0)</f>
        <v>0</v>
      </c>
      <c r="AD138" s="74">
        <f>IF(AD109=2,IF(AE122=1,1,0),0)</f>
        <v>0</v>
      </c>
      <c r="AF138" s="77">
        <f>IF(AF109=2,IF(AE122=1,1,0),0)</f>
        <v>0</v>
      </c>
      <c r="AG138" s="74">
        <f>SUM(B138:AF138)</f>
        <v>4</v>
      </c>
    </row>
    <row r="139" spans="1:38" s="74" customFormat="1" ht="12.75" hidden="1" customHeight="1" x14ac:dyDescent="0.25">
      <c r="A139" s="74" t="s">
        <v>77</v>
      </c>
      <c r="B139" s="74">
        <f>IF(B109=3,IF(C122=1,1,0),0)</f>
        <v>0</v>
      </c>
      <c r="D139" s="77">
        <f>IF(D109=3,IF(C122=1,1,0),0)</f>
        <v>1</v>
      </c>
      <c r="E139" s="74">
        <f>IF(E109=3,IF(F122=1,1,0),0)</f>
        <v>0</v>
      </c>
      <c r="G139" s="77">
        <f>IF(G109=3,IF(F122=1,1,0),0)</f>
        <v>1</v>
      </c>
      <c r="H139" s="74">
        <f>IF(H109=3,IF(I122=1,1,0),0)</f>
        <v>0</v>
      </c>
      <c r="J139" s="77">
        <f>IF(J109=3,IF(I122=1,1,0),0)</f>
        <v>0</v>
      </c>
      <c r="K139" s="77"/>
      <c r="L139" s="74">
        <f>IF(L109=3,IF(M122=1,1,0),0)</f>
        <v>0</v>
      </c>
      <c r="N139" s="77">
        <f>IF(N109=3,IF(M122=1,1,0),0)</f>
        <v>1</v>
      </c>
      <c r="O139" s="74">
        <f>IF(O109=3,IF(P122=1,1,0),0)</f>
        <v>0</v>
      </c>
      <c r="Q139" s="77">
        <f>IF(Q109=3,IF(P122=1,1,0),0)</f>
        <v>1</v>
      </c>
      <c r="R139" s="74">
        <f>IF(R109=3,IF(S122=1,1,0),0)</f>
        <v>0</v>
      </c>
      <c r="T139" s="77">
        <f>IF(T109=3,IF(S122=1,1,0),0)</f>
        <v>0</v>
      </c>
      <c r="U139" s="74">
        <f>IF(U109=3,IF(V122=1,1,0),0)</f>
        <v>0</v>
      </c>
      <c r="W139" s="77">
        <f>IF(W109=3,IF(V122=1,1,0),0)</f>
        <v>0</v>
      </c>
      <c r="X139" s="74">
        <f>IF(X109=3,IF(Y122=1,1,0),0)</f>
        <v>0</v>
      </c>
      <c r="Z139" s="77">
        <f>IF(Z109=3,IF(Y122=1,1,0),0)</f>
        <v>0</v>
      </c>
      <c r="AA139" s="74">
        <f>IF(AA109=3,IF(AB122=1,1,0),0)</f>
        <v>0</v>
      </c>
      <c r="AC139" s="77">
        <f>IF(AC109=3,IF(AB122=1,1,0),0)</f>
        <v>0</v>
      </c>
      <c r="AD139" s="74">
        <f>IF(AD109=3,IF(AE122=1,1,0),0)</f>
        <v>0</v>
      </c>
      <c r="AF139" s="77">
        <f>IF(AF109=3,IF(AE122=1,1,0),0)</f>
        <v>0</v>
      </c>
      <c r="AG139" s="74">
        <f>SUM(B139:AF139)</f>
        <v>4</v>
      </c>
    </row>
    <row r="140" spans="1:38" s="74" customFormat="1" ht="12.75" hidden="1" customHeight="1" x14ac:dyDescent="0.25">
      <c r="A140" s="74" t="s">
        <v>78</v>
      </c>
      <c r="B140" s="74">
        <f>IF(B109=4,IF(C122=1,1,0),0)</f>
        <v>0</v>
      </c>
      <c r="D140" s="77">
        <f>IF(D109=4,IF(C122=1,1,0),0)</f>
        <v>0</v>
      </c>
      <c r="E140" s="74">
        <f>IF(E109=4,IF(F122=1,1,0),0)</f>
        <v>0</v>
      </c>
      <c r="G140" s="77">
        <f>IF(G109=4,IF(F122=1,1,0),0)</f>
        <v>0</v>
      </c>
      <c r="H140" s="74">
        <f>IF(H109=4,IF(I122=1,1,0),0)</f>
        <v>0</v>
      </c>
      <c r="J140" s="77">
        <f>IF(J109=4,IF(I122=1,1,0),0)</f>
        <v>0</v>
      </c>
      <c r="K140" s="77"/>
      <c r="L140" s="74">
        <f>IF(L109=4,IF(M122=1,1,0),0)</f>
        <v>0</v>
      </c>
      <c r="N140" s="77">
        <f>IF(N109=4,IF(M122=1,1,0),0)</f>
        <v>0</v>
      </c>
      <c r="O140" s="74">
        <f>IF(O109=4,IF(P122=1,1,0),0)</f>
        <v>0</v>
      </c>
      <c r="Q140" s="77">
        <f>IF(Q109=4,IF(P122=1,1,0),0)</f>
        <v>0</v>
      </c>
      <c r="R140" s="74">
        <f>IF(R109=4,IF(S122=1,1,0),0)</f>
        <v>0</v>
      </c>
      <c r="T140" s="77">
        <f>IF(T109=4,IF(S122=1,1,0),0)</f>
        <v>0</v>
      </c>
      <c r="U140" s="74">
        <f>IF(U109=4,IF(V122=1,1,0),0)</f>
        <v>0</v>
      </c>
      <c r="W140" s="77">
        <f>IF(W109=4,IF(V122=1,1,0),0)</f>
        <v>0</v>
      </c>
      <c r="X140" s="74">
        <f>IF(X109=4,IF(Y122=1,1,0),0)</f>
        <v>0</v>
      </c>
      <c r="Z140" s="77">
        <f>IF(Z109=4,IF(Y122=1,1,0),0)</f>
        <v>0</v>
      </c>
      <c r="AA140" s="74">
        <f>IF(AA109=4,IF(AB122=1,1,0),0)</f>
        <v>0</v>
      </c>
      <c r="AC140" s="77">
        <f>IF(AC109=4,IF(AB122=1,1,0),0)</f>
        <v>0</v>
      </c>
      <c r="AD140" s="74">
        <f>IF(AD109=4,IF(AE122=1,1,0),0)</f>
        <v>0</v>
      </c>
      <c r="AF140" s="77">
        <f>IF(AF109=4,IF(AE122=1,1,0),0)</f>
        <v>0</v>
      </c>
      <c r="AG140" s="74">
        <f>SUM(B140:AF140)</f>
        <v>0</v>
      </c>
    </row>
    <row r="141" spans="1:38" s="74" customFormat="1" ht="12.75" hidden="1" customHeight="1" x14ac:dyDescent="0.25">
      <c r="A141" s="74" t="s">
        <v>79</v>
      </c>
      <c r="B141" s="74">
        <f>IF(B109=5,IF(C122=1,1,0),0)</f>
        <v>0</v>
      </c>
      <c r="D141" s="77">
        <f>IF(D109=5,IF(C122=1,1,0),0)</f>
        <v>0</v>
      </c>
      <c r="E141" s="74">
        <f>IF(E109=5,IF(F122=1,1,0),0)</f>
        <v>0</v>
      </c>
      <c r="G141" s="77">
        <f>IF(G109=5,IF(F122=1,1,0),0)</f>
        <v>0</v>
      </c>
      <c r="H141" s="74">
        <f>IF(H109=5,IF(I122=1,1,0),0)</f>
        <v>0</v>
      </c>
      <c r="J141" s="77">
        <f>IF(J109=5,IF(I122=1,1,0),0)</f>
        <v>0</v>
      </c>
      <c r="K141" s="77"/>
      <c r="L141" s="74">
        <f>IF(L109=5,IF(M122=1,1,0),0)</f>
        <v>0</v>
      </c>
      <c r="N141" s="77">
        <f>IF(N109=5,IF(M122=1,1,0),0)</f>
        <v>0</v>
      </c>
      <c r="O141" s="74">
        <f>IF(O109=5,IF(P122=1,1,0),0)</f>
        <v>0</v>
      </c>
      <c r="Q141" s="77">
        <f>IF(Q109=5,IF(P122=1,1,0),0)</f>
        <v>0</v>
      </c>
      <c r="R141" s="74">
        <f>IF(R109=5,IF(S122=1,1,0),0)</f>
        <v>0</v>
      </c>
      <c r="T141" s="77">
        <f>IF(T109=5,IF(S122=1,1,0),0)</f>
        <v>0</v>
      </c>
      <c r="U141" s="74">
        <f>IF(U109=5,IF(V122=1,1,0),0)</f>
        <v>0</v>
      </c>
      <c r="W141" s="77">
        <f>IF(W109=5,IF(V122=1,1,0),0)</f>
        <v>0</v>
      </c>
      <c r="X141" s="74">
        <f>IF(X109=5,IF(Y122=1,1,0),0)</f>
        <v>0</v>
      </c>
      <c r="Z141" s="77">
        <f>IF(Z109=5,IF(Y122=1,1,0),0)</f>
        <v>0</v>
      </c>
      <c r="AA141" s="74">
        <f>IF(AA109=5,IF(AB122=1,1,0),0)</f>
        <v>0</v>
      </c>
      <c r="AC141" s="77">
        <f>IF(AC109=5,IF(AB122=1,1,0),0)</f>
        <v>0</v>
      </c>
      <c r="AD141" s="74">
        <f>IF(AD109=5,IF(AE122=1,1,0),0)</f>
        <v>0</v>
      </c>
      <c r="AF141" s="77">
        <f>IF(AF109=5,IF(AE122=1,1,0),0)</f>
        <v>0</v>
      </c>
      <c r="AG141" s="74">
        <f>SUM(B141:AF141)</f>
        <v>0</v>
      </c>
    </row>
    <row r="142" spans="1:38" s="74" customFormat="1" ht="38.25" hidden="1" customHeight="1" x14ac:dyDescent="0.25">
      <c r="A142" s="78"/>
      <c r="D142" s="77"/>
      <c r="G142" s="77"/>
      <c r="J142" s="77"/>
      <c r="K142" s="77"/>
      <c r="N142" s="77"/>
      <c r="Q142" s="77"/>
      <c r="T142" s="77"/>
      <c r="W142" s="77"/>
      <c r="Z142" s="77"/>
      <c r="AC142" s="77"/>
      <c r="AF142" s="77"/>
      <c r="AG142" s="78" t="s">
        <v>80</v>
      </c>
      <c r="AH142" s="307"/>
      <c r="AI142" s="307"/>
      <c r="AJ142" s="307"/>
      <c r="AK142" s="307"/>
      <c r="AL142" s="307"/>
    </row>
    <row r="143" spans="1:38" s="74" customFormat="1" ht="12.75" hidden="1" customHeight="1" x14ac:dyDescent="0.25">
      <c r="A143" s="74" t="s">
        <v>75</v>
      </c>
      <c r="B143" s="74">
        <f>IF(B109=1,B129,0)</f>
        <v>26</v>
      </c>
      <c r="D143" s="77">
        <f>IF(D109=1,B129,0)</f>
        <v>0</v>
      </c>
      <c r="E143" s="74">
        <f>IF(E109=1,E129,0)</f>
        <v>0</v>
      </c>
      <c r="G143" s="77">
        <f>IF(G109=1,E129,0)</f>
        <v>0</v>
      </c>
      <c r="H143" s="74">
        <f>IF(H109=1,H129,0)</f>
        <v>23</v>
      </c>
      <c r="J143" s="77">
        <f>IF(J109=1,H129,0)</f>
        <v>0</v>
      </c>
      <c r="K143" s="77"/>
      <c r="L143" s="74">
        <f>IF(L109=1,L129,0)</f>
        <v>23</v>
      </c>
      <c r="N143" s="77">
        <f>IF(N109=1,L129,0)</f>
        <v>0</v>
      </c>
      <c r="O143" s="74">
        <f>IF(O109=1,O129,0)</f>
        <v>0</v>
      </c>
      <c r="Q143" s="77">
        <f>IF(Q109=1,O129,0)</f>
        <v>0</v>
      </c>
      <c r="R143" s="74">
        <f>IF(R109=1,R129,0)</f>
        <v>23</v>
      </c>
      <c r="T143" s="77">
        <f>IF(T109=1,R129,0)</f>
        <v>0</v>
      </c>
      <c r="U143" s="74">
        <f>IF(U109=1,U129,0)</f>
        <v>0</v>
      </c>
      <c r="W143" s="77">
        <f>IF(W109=1,U129,0)</f>
        <v>0</v>
      </c>
      <c r="X143" s="74">
        <f>IF(X109=1,X129,0)</f>
        <v>0</v>
      </c>
      <c r="Z143" s="77">
        <f>IF(Z109=1,X129,0)</f>
        <v>0</v>
      </c>
      <c r="AA143" s="74">
        <f>IF(AA109=1,AA129,0)</f>
        <v>0</v>
      </c>
      <c r="AC143" s="77">
        <f>IF(AC109=1,AA129,0)</f>
        <v>0</v>
      </c>
      <c r="AD143" s="74">
        <f>IF(AD109=1,AD129,0)</f>
        <v>0</v>
      </c>
      <c r="AF143" s="77">
        <f>IF(AF109=1,AD129,0)</f>
        <v>0</v>
      </c>
      <c r="AG143" s="74">
        <f>SUM(B143:AF143)</f>
        <v>95</v>
      </c>
    </row>
    <row r="144" spans="1:38" s="74" customFormat="1" ht="12.75" hidden="1" customHeight="1" x14ac:dyDescent="0.25">
      <c r="A144" s="74" t="s">
        <v>76</v>
      </c>
      <c r="B144" s="74">
        <f>IF(B109=2,B129,0)</f>
        <v>0</v>
      </c>
      <c r="D144" s="77">
        <f>IF(D109=2,B129,0)</f>
        <v>0</v>
      </c>
      <c r="E144" s="74">
        <f>IF(E109=2,E129,0)</f>
        <v>21</v>
      </c>
      <c r="G144" s="77">
        <f>IF(G109=2,E129,0)</f>
        <v>0</v>
      </c>
      <c r="H144" s="74">
        <f>IF(H109=2,H129,0)</f>
        <v>0</v>
      </c>
      <c r="J144" s="77">
        <f>IF(J109=2,H129,0)</f>
        <v>23</v>
      </c>
      <c r="K144" s="77"/>
      <c r="L144" s="74">
        <f>IF(L109=2,L129,0)</f>
        <v>0</v>
      </c>
      <c r="N144" s="77">
        <f>IF(N109=2,L129,0)</f>
        <v>0</v>
      </c>
      <c r="O144" s="74">
        <f>IF(O109=2,O129,0)</f>
        <v>20</v>
      </c>
      <c r="Q144" s="77">
        <f>IF(Q109=2,O129,0)</f>
        <v>0</v>
      </c>
      <c r="R144" s="74">
        <f>IF(R109=2,R129,0)</f>
        <v>0</v>
      </c>
      <c r="T144" s="77">
        <f>IF(T109=2,R129,0)</f>
        <v>23</v>
      </c>
      <c r="U144" s="74">
        <f>IF(U109=2,U129,0)</f>
        <v>0</v>
      </c>
      <c r="W144" s="77">
        <f>IF(W109=2,U129,0)</f>
        <v>0</v>
      </c>
      <c r="X144" s="74">
        <f>IF(X109=2,X129,0)</f>
        <v>0</v>
      </c>
      <c r="Z144" s="77">
        <f>IF(Z109=2,X129,0)</f>
        <v>0</v>
      </c>
      <c r="AA144" s="74">
        <f>IF(AA109=2,AA129,0)</f>
        <v>0</v>
      </c>
      <c r="AC144" s="77">
        <f>IF(AC109=2,AA129,0)</f>
        <v>0</v>
      </c>
      <c r="AD144" s="74">
        <f>IF(AD109=2,AD129,0)</f>
        <v>0</v>
      </c>
      <c r="AF144" s="77">
        <f>IF(AF109=2,AD129,0)</f>
        <v>0</v>
      </c>
      <c r="AG144" s="74">
        <f>SUM(B144:AF144)</f>
        <v>87</v>
      </c>
    </row>
    <row r="145" spans="1:34" s="74" customFormat="1" ht="12.75" hidden="1" customHeight="1" x14ac:dyDescent="0.25">
      <c r="A145" s="74" t="s">
        <v>77</v>
      </c>
      <c r="B145" s="74">
        <f>IF(B109=3,B129,0)</f>
        <v>0</v>
      </c>
      <c r="D145" s="77">
        <f>IF(D109=3,B129,0)</f>
        <v>26</v>
      </c>
      <c r="E145" s="74">
        <f>IF(E109=3,E129,0)</f>
        <v>0</v>
      </c>
      <c r="G145" s="77">
        <f>IF(G109=3,E129,0)</f>
        <v>21</v>
      </c>
      <c r="H145" s="74">
        <f>IF(H109=3,H129,0)</f>
        <v>0</v>
      </c>
      <c r="J145" s="77">
        <f>IF(J109=3,H129,0)</f>
        <v>0</v>
      </c>
      <c r="K145" s="77"/>
      <c r="L145" s="74">
        <f>IF(L109=3,L129,0)</f>
        <v>0</v>
      </c>
      <c r="N145" s="77">
        <f>IF(N109=3,L129,0)</f>
        <v>23</v>
      </c>
      <c r="O145" s="74">
        <f>IF(O109=3,O129,0)</f>
        <v>0</v>
      </c>
      <c r="Q145" s="77">
        <f>IF(Q109=3,O129,0)</f>
        <v>20</v>
      </c>
      <c r="R145" s="74">
        <f>IF(R109=3,R129,0)</f>
        <v>0</v>
      </c>
      <c r="T145" s="77">
        <f>IF(T109=3,R129,0)</f>
        <v>0</v>
      </c>
      <c r="U145" s="74">
        <f>IF(U109=3,U129,0)</f>
        <v>0</v>
      </c>
      <c r="W145" s="77">
        <f>IF(W109=3,U129,0)</f>
        <v>0</v>
      </c>
      <c r="X145" s="74">
        <f>IF(X109=3,X129,0)</f>
        <v>0</v>
      </c>
      <c r="Z145" s="77">
        <f>IF(Z109=3,X129,0)</f>
        <v>0</v>
      </c>
      <c r="AA145" s="74">
        <f>IF(AA109=3,AA129,0)</f>
        <v>0</v>
      </c>
      <c r="AC145" s="77">
        <f>IF(AC109=3,AA129,0)</f>
        <v>0</v>
      </c>
      <c r="AD145" s="74">
        <f>IF(AD109=3,AD129,0)</f>
        <v>0</v>
      </c>
      <c r="AF145" s="77">
        <f>IF(AF109=3,AD129,0)</f>
        <v>0</v>
      </c>
      <c r="AG145" s="74">
        <f>SUM(B145:AF145)</f>
        <v>90</v>
      </c>
    </row>
    <row r="146" spans="1:34" s="74" customFormat="1" ht="12.75" hidden="1" customHeight="1" x14ac:dyDescent="0.25">
      <c r="A146" s="74" t="s">
        <v>78</v>
      </c>
      <c r="B146" s="74">
        <f>IF(B109=4,B129,0)</f>
        <v>0</v>
      </c>
      <c r="D146" s="77">
        <f>IF(D109=4,B129,0)</f>
        <v>0</v>
      </c>
      <c r="E146" s="74">
        <f>IF(E109=4,E129,0)</f>
        <v>0</v>
      </c>
      <c r="G146" s="77">
        <f>IF(G109=4,E129,0)</f>
        <v>0</v>
      </c>
      <c r="H146" s="74">
        <f>IF(H109=4,H129,0)</f>
        <v>0</v>
      </c>
      <c r="J146" s="77">
        <f>IF(J109=4,H129,0)</f>
        <v>0</v>
      </c>
      <c r="K146" s="77"/>
      <c r="L146" s="74">
        <f>IF(L109=4,L129,0)</f>
        <v>0</v>
      </c>
      <c r="N146" s="77">
        <f>IF(N109=4,L129,0)</f>
        <v>0</v>
      </c>
      <c r="O146" s="74">
        <f>IF(O109=4,O129,0)</f>
        <v>0</v>
      </c>
      <c r="Q146" s="77">
        <f>IF(Q109=4,O129,0)</f>
        <v>0</v>
      </c>
      <c r="R146" s="74">
        <f>IF(R109=4,R129,0)</f>
        <v>0</v>
      </c>
      <c r="T146" s="77">
        <f>IF(T109=4,R129,0)</f>
        <v>0</v>
      </c>
      <c r="U146" s="74">
        <f>IF(U109=4,U129,0)</f>
        <v>0</v>
      </c>
      <c r="W146" s="77">
        <f>IF(W109=4,U129,0)</f>
        <v>0</v>
      </c>
      <c r="X146" s="74">
        <f>IF(X109=4,X129,0)</f>
        <v>0</v>
      </c>
      <c r="Z146" s="77">
        <f>IF(Z109=4,X129,0)</f>
        <v>0</v>
      </c>
      <c r="AA146" s="74">
        <f>IF(AA109=4,AA129,0)</f>
        <v>0</v>
      </c>
      <c r="AC146" s="77">
        <f>IF(AC109=4,AA129,0)</f>
        <v>0</v>
      </c>
      <c r="AD146" s="74">
        <f>IF(AD109=4,AD129,0)</f>
        <v>0</v>
      </c>
      <c r="AF146" s="77">
        <f>IF(AF109=4,AD129,0)</f>
        <v>0</v>
      </c>
      <c r="AG146" s="74">
        <f>SUM(B146:AF146)</f>
        <v>0</v>
      </c>
    </row>
    <row r="147" spans="1:34" s="74" customFormat="1" ht="12.75" hidden="1" customHeight="1" x14ac:dyDescent="0.25">
      <c r="A147" s="74" t="s">
        <v>79</v>
      </c>
      <c r="B147" s="74">
        <f>IF(B109=5,B129,0)</f>
        <v>0</v>
      </c>
      <c r="D147" s="77">
        <f>IF(D109=5,B129,0)</f>
        <v>0</v>
      </c>
      <c r="E147" s="74">
        <f>IF(E109=5,E129,0)</f>
        <v>0</v>
      </c>
      <c r="G147" s="77">
        <f>IF(G109=5,E129,0)</f>
        <v>0</v>
      </c>
      <c r="H147" s="74">
        <f>IF(H109=5,H129,0)</f>
        <v>0</v>
      </c>
      <c r="J147" s="77">
        <f>IF(J109=5,H129,0)</f>
        <v>0</v>
      </c>
      <c r="K147" s="77"/>
      <c r="L147" s="74">
        <f>IF(L109=5,L129,0)</f>
        <v>0</v>
      </c>
      <c r="N147" s="77">
        <f>IF(N109=5,L129,0)</f>
        <v>0</v>
      </c>
      <c r="O147" s="74">
        <f>IF(O109=5,O129,0)</f>
        <v>0</v>
      </c>
      <c r="Q147" s="77">
        <f>IF(Q109=5,O129,0)</f>
        <v>0</v>
      </c>
      <c r="R147" s="74">
        <f>IF(R109=5,R129,0)</f>
        <v>0</v>
      </c>
      <c r="T147" s="77">
        <f>IF(T109=5,R129,0)</f>
        <v>0</v>
      </c>
      <c r="U147" s="74">
        <f>IF(U109=5,U129,0)</f>
        <v>0</v>
      </c>
      <c r="W147" s="77">
        <f>IF(W109=5,U129,0)</f>
        <v>0</v>
      </c>
      <c r="X147" s="74">
        <f>IF(X109=5,X129,0)</f>
        <v>0</v>
      </c>
      <c r="Z147" s="77">
        <f>IF(Z109=5,X129,0)</f>
        <v>0</v>
      </c>
      <c r="AA147" s="74">
        <f>IF(AA109=5,AA129,0)</f>
        <v>0</v>
      </c>
      <c r="AC147" s="77">
        <f>IF(AC109=5,AA129,0)</f>
        <v>0</v>
      </c>
      <c r="AD147" s="74">
        <f>IF(AD109=5,AD129,0)</f>
        <v>0</v>
      </c>
      <c r="AF147" s="77">
        <f>IF(AF109=5,AD129,0)</f>
        <v>0</v>
      </c>
      <c r="AG147" s="74">
        <f>SUM(B147:AF147)</f>
        <v>0</v>
      </c>
    </row>
    <row r="148" spans="1:34" s="74" customFormat="1" ht="38.25" hidden="1" customHeight="1" x14ac:dyDescent="0.25">
      <c r="A148" s="74" t="s">
        <v>81</v>
      </c>
      <c r="D148" s="77"/>
      <c r="G148" s="77"/>
      <c r="J148" s="77"/>
      <c r="K148" s="77"/>
      <c r="N148" s="77"/>
      <c r="Q148" s="77"/>
      <c r="T148" s="77"/>
      <c r="W148" s="77"/>
      <c r="Z148" s="77"/>
      <c r="AC148" s="77"/>
      <c r="AF148" s="77"/>
      <c r="AG148" s="78" t="s">
        <v>82</v>
      </c>
      <c r="AH148" s="74" t="s">
        <v>83</v>
      </c>
    </row>
    <row r="149" spans="1:34" s="74" customFormat="1" ht="12.75" hidden="1" customHeight="1" x14ac:dyDescent="0.25">
      <c r="A149" s="74" t="s">
        <v>69</v>
      </c>
      <c r="B149" s="74">
        <f>IF(B109=1,SUMIF(B116:B120,"&gt;0"),0)</f>
        <v>1</v>
      </c>
      <c r="D149" s="77">
        <f>IF(D109=1,SUMIF(D116:D120,"&gt;0"),0)</f>
        <v>0</v>
      </c>
      <c r="E149" s="74">
        <f>IF(E109=1,SUMIF(E116:E120,"&gt;0"),0)</f>
        <v>0</v>
      </c>
      <c r="G149" s="77">
        <f>IF(G109=1,SUMIF(G116:G120,"&gt;0"),0)</f>
        <v>0</v>
      </c>
      <c r="H149" s="74">
        <f>IF(H109=1,SUMIF(H116:H120,"&gt;0"),0)</f>
        <v>0</v>
      </c>
      <c r="J149" s="77">
        <f>IF(J109=1,SUMIF(J116:J120,"&gt;0"),0)</f>
        <v>0</v>
      </c>
      <c r="K149" s="77"/>
      <c r="L149" s="74">
        <f>IF(L109=1,SUMIF(L116:L120,"&gt;0"),0)</f>
        <v>1</v>
      </c>
      <c r="N149" s="77">
        <f>IF(N109=1,SUMIF(N116:N120,"&gt;0"),0)</f>
        <v>0</v>
      </c>
      <c r="O149" s="74">
        <f>IF(O109=1,SUMIF(O116:O120,"&gt;0"),0)</f>
        <v>0</v>
      </c>
      <c r="Q149" s="77">
        <f>IF(Q109=1,SUMIF(Q116:Q120,"&gt;0"),0)</f>
        <v>0</v>
      </c>
      <c r="R149" s="74">
        <f>IF(R109=1,SUMIF(R116:R120,"&gt;0"),0)</f>
        <v>1</v>
      </c>
      <c r="T149" s="77">
        <f>IF(T109=1,SUMIF(T116:T120,"&gt;0"),0)</f>
        <v>0</v>
      </c>
      <c r="U149" s="74">
        <f>IF(U109=1,SUMIF(U116:U120,"&gt;0"),0)</f>
        <v>0</v>
      </c>
      <c r="W149" s="77">
        <f>IF(W109=1,SUMIF(W116:W120,"&gt;0"),0)</f>
        <v>0</v>
      </c>
      <c r="X149" s="74">
        <f>IF(X109=1,SUMIF(X116:X120,"&gt;0"),0)</f>
        <v>0</v>
      </c>
      <c r="Z149" s="77">
        <f>IF(Z109=1,SUMIF(Z116:Z120,"&gt;0"),0)</f>
        <v>0</v>
      </c>
      <c r="AA149" s="74">
        <f>IF(AA109=1,SUMIF(AA116:AA120,"&gt;0"),0)</f>
        <v>0</v>
      </c>
      <c r="AC149" s="77">
        <f>IF(AC109=1,SUMIF(AC116:AC120,"&gt;0"),0)</f>
        <v>0</v>
      </c>
      <c r="AD149" s="74">
        <f>IF(AD109=1,SUMIF(AD116:AD120,"&gt;0"),0)</f>
        <v>0</v>
      </c>
      <c r="AF149" s="77">
        <f>IF(AF109=1,SUMIF(AF116:AF120,"&gt;0"),0)</f>
        <v>0</v>
      </c>
      <c r="AG149" s="74">
        <f>SUM(B149:AF149)</f>
        <v>3</v>
      </c>
      <c r="AH149" s="74">
        <f>AG157-AG149</f>
        <v>1</v>
      </c>
    </row>
    <row r="150" spans="1:34" s="74" customFormat="1" ht="12.75" hidden="1" customHeight="1" x14ac:dyDescent="0.25">
      <c r="A150" s="74" t="s">
        <v>70</v>
      </c>
      <c r="B150" s="74">
        <f>IF(B109=2,SUMIF(B116:B120,"&gt;0"),0)</f>
        <v>0</v>
      </c>
      <c r="D150" s="77">
        <f>IF(D109=2,SUMIF(D116:D120,"&gt;0"),0)</f>
        <v>0</v>
      </c>
      <c r="E150" s="74">
        <f>IF(E109=2,SUMIF(E116:E120,"&gt;0"),0)</f>
        <v>1</v>
      </c>
      <c r="G150" s="77">
        <f>IF(G109=2,SUMIF(G116:G120,"&gt;0"),0)</f>
        <v>0</v>
      </c>
      <c r="H150" s="74">
        <f>IF(H109=2,SUMIF(H116:H120,"&gt;0"),0)</f>
        <v>0</v>
      </c>
      <c r="J150" s="77">
        <f>IF(J109=2,SUMIF(J116:J120,"&gt;0"),0)</f>
        <v>1</v>
      </c>
      <c r="K150" s="77"/>
      <c r="L150" s="74">
        <f>IF(L109=2,SUMIF(L116:L120,"&gt;0"),0)</f>
        <v>0</v>
      </c>
      <c r="N150" s="77">
        <f>IF(N109=2,SUMIF(N116:N120,"&gt;0"),0)</f>
        <v>0</v>
      </c>
      <c r="O150" s="74">
        <f>IF(O109=2,SUMIF(O116:O120,"&gt;0"),0)</f>
        <v>1</v>
      </c>
      <c r="Q150" s="77">
        <f>IF(Q109=2,SUMIF(Q116:Q120,"&gt;0"),0)</f>
        <v>0</v>
      </c>
      <c r="R150" s="74">
        <f>IF(R109=2,SUMIF(R116:R120,"&gt;0"),0)</f>
        <v>0</v>
      </c>
      <c r="T150" s="77">
        <f>IF(T109=2,SUMIF(T116:T120,"&gt;0"),0)</f>
        <v>0</v>
      </c>
      <c r="U150" s="74">
        <f>IF(U109=2,SUMIF(U116:U120,"&gt;0"),0)</f>
        <v>0</v>
      </c>
      <c r="W150" s="77">
        <f>IF(W109=2,SUMIF(W116:W120,"&gt;0"),0)</f>
        <v>0</v>
      </c>
      <c r="X150" s="74">
        <f>IF(X109=2,SUMIF(X116:X120,"&gt;0"),0)</f>
        <v>0</v>
      </c>
      <c r="Z150" s="77">
        <f>IF(Z109=2,SUMIF(Z116:Z120,"&gt;0"),0)</f>
        <v>0</v>
      </c>
      <c r="AA150" s="74">
        <f>IF(AA109=2,SUMIF(AA116:AA120,"&gt;0"),0)</f>
        <v>0</v>
      </c>
      <c r="AC150" s="77">
        <f>IF(AC109=2,SUMIF(AC116:AC120,"&gt;0"),0)</f>
        <v>0</v>
      </c>
      <c r="AD150" s="74">
        <f>IF(AD109=2,SUMIF(AD116:AD120,"&gt;0"),0)</f>
        <v>0</v>
      </c>
      <c r="AF150" s="77">
        <f>IF(AF109=2,SUMIF(AF116:AF120,"&gt;0"),0)</f>
        <v>0</v>
      </c>
      <c r="AG150" s="74">
        <f>SUM(B150:AF150)</f>
        <v>3</v>
      </c>
      <c r="AH150" s="74">
        <f>AG158-AG150</f>
        <v>1</v>
      </c>
    </row>
    <row r="151" spans="1:34" s="74" customFormat="1" ht="12.75" hidden="1" customHeight="1" x14ac:dyDescent="0.25">
      <c r="A151" s="74" t="s">
        <v>71</v>
      </c>
      <c r="B151" s="74">
        <f>IF(B109=3,SUMIF(B116:B120,"&gt;0"),0)</f>
        <v>0</v>
      </c>
      <c r="D151" s="77">
        <f>IF(D109=3,SUMIF(D116:D120,"&gt;0"),0)</f>
        <v>0</v>
      </c>
      <c r="E151" s="74">
        <f>IF(E109=3,SUMIF(E116:E120,"&gt;0"),0)</f>
        <v>0</v>
      </c>
      <c r="G151" s="77">
        <f>IF(G109=3,SUMIF(G116:G120,"&gt;0"),0)</f>
        <v>0</v>
      </c>
      <c r="H151" s="74">
        <f>IF(H109=3,SUMIF(H116:H120,"&gt;0"),0)</f>
        <v>0</v>
      </c>
      <c r="J151" s="77">
        <f>IF(J109=3,SUMIF(J116:J120,"&gt;0"),0)</f>
        <v>0</v>
      </c>
      <c r="K151" s="77"/>
      <c r="L151" s="74">
        <f>IF(L109=3,SUMIF(L116:L120,"&gt;0"),0)</f>
        <v>0</v>
      </c>
      <c r="N151" s="77">
        <f>IF(N109=3,SUMIF(N116:N120,"&gt;0"),0)</f>
        <v>0</v>
      </c>
      <c r="O151" s="74">
        <f>IF(O109=3,SUMIF(O116:O120,"&gt;0"),0)</f>
        <v>0</v>
      </c>
      <c r="Q151" s="77">
        <f>IF(Q109=3,SUMIF(Q116:Q120,"&gt;0"),0)</f>
        <v>0</v>
      </c>
      <c r="R151" s="74">
        <f>IF(R109=3,SUMIF(R116:R120,"&gt;0"),0)</f>
        <v>0</v>
      </c>
      <c r="T151" s="77">
        <f>IF(T109=3,SUMIF(T116:T120,"&gt;0"),0)</f>
        <v>0</v>
      </c>
      <c r="U151" s="74">
        <f>IF(U109=3,SUMIF(U116:U120,"&gt;0"),0)</f>
        <v>0</v>
      </c>
      <c r="W151" s="77">
        <f>IF(W109=3,SUMIF(W116:W120,"&gt;0"),0)</f>
        <v>0</v>
      </c>
      <c r="X151" s="74">
        <f>IF(X109=3,SUMIF(X116:X120,"&gt;0"),0)</f>
        <v>0</v>
      </c>
      <c r="Z151" s="77">
        <f>IF(Z109=3,SUMIF(Z116:Z120,"&gt;0"),0)</f>
        <v>0</v>
      </c>
      <c r="AA151" s="74">
        <f>IF(AA109=3,SUMIF(AA116:AA120,"&gt;0"),0)</f>
        <v>0</v>
      </c>
      <c r="AC151" s="77">
        <f>IF(AC109=3,SUMIF(AC116:AC120,"&gt;0"),0)</f>
        <v>0</v>
      </c>
      <c r="AD151" s="74">
        <f>IF(AD109=3,SUMIF(AD116:AD120,"&gt;0"),0)</f>
        <v>0</v>
      </c>
      <c r="AF151" s="77">
        <f>IF(AF109=3,SUMIF(AF116:AF120,"&gt;0"),0)</f>
        <v>0</v>
      </c>
      <c r="AG151" s="74">
        <f>SUM(B151:AF151)</f>
        <v>0</v>
      </c>
      <c r="AH151" s="74">
        <f>AG159-AG151</f>
        <v>4</v>
      </c>
    </row>
    <row r="152" spans="1:34" s="74" customFormat="1" ht="12.75" hidden="1" customHeight="1" x14ac:dyDescent="0.25">
      <c r="A152" s="74" t="s">
        <v>72</v>
      </c>
      <c r="B152" s="74">
        <f>IF(B109=4,SUMIF(B116:B120,"&gt;0"),0)</f>
        <v>0</v>
      </c>
      <c r="D152" s="77">
        <f>IF(D109=4,SUMIF(D116:D120,"&gt;0"),0)</f>
        <v>0</v>
      </c>
      <c r="E152" s="74">
        <f>IF(E109=4,SUMIF(E116:E120,"&gt;0"),0)</f>
        <v>0</v>
      </c>
      <c r="G152" s="77">
        <f>IF(G109=4,SUMIF(G116:G120,"&gt;0"),0)</f>
        <v>0</v>
      </c>
      <c r="H152" s="74">
        <f>IF(H109=4,SUMIF(H116:H120,"&gt;0"),0)</f>
        <v>0</v>
      </c>
      <c r="J152" s="77">
        <f>IF(J109=4,SUMIF(J116:J120,"&gt;0"),0)</f>
        <v>0</v>
      </c>
      <c r="K152" s="77"/>
      <c r="L152" s="74">
        <f>IF(L109=4,SUMIF(L116:L120,"&gt;0"),0)</f>
        <v>0</v>
      </c>
      <c r="N152" s="77">
        <f>IF(N109=4,SUMIF(N116:N120,"&gt;0"),0)</f>
        <v>0</v>
      </c>
      <c r="O152" s="74">
        <f>IF(O109=4,SUMIF(O116:O120,"&gt;0"),0)</f>
        <v>0</v>
      </c>
      <c r="Q152" s="77">
        <f>IF(Q109=4,SUMIF(Q116:Q120,"&gt;0"),0)</f>
        <v>0</v>
      </c>
      <c r="R152" s="74">
        <f>IF(R109=4,SUMIF(R116:R120,"&gt;0"),0)</f>
        <v>0</v>
      </c>
      <c r="T152" s="77">
        <f>IF(T109=4,SUMIF(T116:T120,"&gt;0"),0)</f>
        <v>0</v>
      </c>
      <c r="U152" s="74">
        <f>IF(U109=4,SUMIF(U116:U120,"&gt;0"),0)</f>
        <v>0</v>
      </c>
      <c r="W152" s="77">
        <f>IF(W109=4,SUMIF(W116:W120,"&gt;0"),0)</f>
        <v>0</v>
      </c>
      <c r="X152" s="74">
        <f>IF(X109=4,SUMIF(X116:X120,"&gt;0"),0)</f>
        <v>0</v>
      </c>
      <c r="Z152" s="77">
        <f>IF(Z109=4,SUMIF(Z116:Z120,"&gt;0"),0)</f>
        <v>0</v>
      </c>
      <c r="AA152" s="74">
        <f>IF(AA109=4,SUMIF(AA116:AA120,"&gt;0"),0)</f>
        <v>0</v>
      </c>
      <c r="AC152" s="77">
        <f>IF(AC109=4,SUMIF(AC116:AC120,"&gt;0"),0)</f>
        <v>0</v>
      </c>
      <c r="AD152" s="74">
        <f>IF(AD109=4,SUMIF(AD116:AD120,"&gt;0"),0)</f>
        <v>0</v>
      </c>
      <c r="AF152" s="77">
        <f>IF(AF109=4,SUMIF(AF116:AF120,"&gt;0"),0)</f>
        <v>0</v>
      </c>
      <c r="AG152" s="74">
        <f>SUM(B152:AF152)</f>
        <v>0</v>
      </c>
      <c r="AH152" s="74">
        <f>AG160-AG152</f>
        <v>0</v>
      </c>
    </row>
    <row r="153" spans="1:34" s="74" customFormat="1" ht="12.75" hidden="1" customHeight="1" x14ac:dyDescent="0.25">
      <c r="A153" s="74" t="s">
        <v>73</v>
      </c>
      <c r="B153" s="74">
        <f>IF(B109=5,SUMIF(B116:B120,"&gt;0"),0)</f>
        <v>0</v>
      </c>
      <c r="D153" s="77">
        <f>IF(D109=5,SUMIF(D116:D120,"&gt;0"),0)</f>
        <v>0</v>
      </c>
      <c r="E153" s="74">
        <f>IF(E109=5,SUMIF(E116:E120,"&gt;0"),0)</f>
        <v>0</v>
      </c>
      <c r="G153" s="77">
        <f>IF(G109=5,SUMIF(G116:G120,"&gt;0"),0)</f>
        <v>0</v>
      </c>
      <c r="H153" s="74">
        <f>IF(H109=5,SUMIF(H116:H120,"&gt;0"),0)</f>
        <v>0</v>
      </c>
      <c r="J153" s="77">
        <f>IF(J109=5,SUMIF(J116:J120,"&gt;0"),0)</f>
        <v>0</v>
      </c>
      <c r="K153" s="77"/>
      <c r="L153" s="74">
        <f>IF(L109=5,SUMIF(L116:L120,"&gt;0"),0)</f>
        <v>0</v>
      </c>
      <c r="N153" s="77">
        <f>IF(N109=5,SUMIF(N116:N120,"&gt;0"),0)</f>
        <v>0</v>
      </c>
      <c r="O153" s="74">
        <f>IF(O109=5,SUMIF(O116:O120,"&gt;0"),0)</f>
        <v>0</v>
      </c>
      <c r="Q153" s="77">
        <f>IF(Q109=5,SUMIF(Q116:Q120,"&gt;0"),0)</f>
        <v>0</v>
      </c>
      <c r="R153" s="74">
        <f>IF(R109=5,SUMIF(R116:R120,"&gt;0"),0)</f>
        <v>0</v>
      </c>
      <c r="T153" s="77">
        <f>IF(T109=5,SUMIF(T116:T120,"&gt;0"),0)</f>
        <v>0</v>
      </c>
      <c r="U153" s="74">
        <f>IF(U109=5,SUMIF(U116:U120,"&gt;0"),0)</f>
        <v>0</v>
      </c>
      <c r="W153" s="77">
        <f>IF(W109=5,SUMIF(W116:W120,"&gt;0"),0)</f>
        <v>0</v>
      </c>
      <c r="X153" s="74">
        <f>IF(X109=5,SUMIF(X116:X120,"&gt;0"),0)</f>
        <v>0</v>
      </c>
      <c r="Z153" s="77">
        <f>IF(Z109=5,SUMIF(Z116:Z120,"&gt;0"),0)</f>
        <v>0</v>
      </c>
      <c r="AA153" s="74">
        <f>IF(AA109=5,SUMIF(AA116:AA120,"&gt;0"),0)</f>
        <v>0</v>
      </c>
      <c r="AC153" s="77">
        <f>IF(AC109=5,SUMIF(AC116:AC120,"&gt;0"),0)</f>
        <v>0</v>
      </c>
      <c r="AD153" s="74">
        <f>IF(AD109=5,SUMIF(AD116:AD120,"&gt;0"),0)</f>
        <v>0</v>
      </c>
      <c r="AF153" s="77">
        <f>IF(AF109=5,SUMIF(AF116:AF120,"&gt;0"),0)</f>
        <v>0</v>
      </c>
      <c r="AG153" s="74">
        <f>SUM(B153:AF153)</f>
        <v>0</v>
      </c>
      <c r="AH153" s="74">
        <f>AG161-AG153</f>
        <v>0</v>
      </c>
    </row>
    <row r="154" spans="1:34" s="74" customFormat="1" ht="12.75" hidden="1" customHeight="1" x14ac:dyDescent="0.25">
      <c r="D154" s="77"/>
      <c r="G154" s="77"/>
      <c r="J154" s="77"/>
      <c r="K154" s="77"/>
      <c r="N154" s="77"/>
      <c r="Q154" s="77"/>
      <c r="T154" s="77"/>
      <c r="W154" s="77"/>
      <c r="Z154" s="77"/>
      <c r="AC154" s="77"/>
      <c r="AF154" s="77"/>
    </row>
    <row r="155" spans="1:34" s="74" customFormat="1" ht="12.75" hidden="1" customHeight="1" x14ac:dyDescent="0.25">
      <c r="D155" s="77"/>
      <c r="G155" s="77"/>
      <c r="J155" s="77"/>
      <c r="K155" s="77"/>
      <c r="N155" s="77"/>
      <c r="Q155" s="77"/>
      <c r="T155" s="77"/>
      <c r="W155" s="77"/>
      <c r="Z155" s="77"/>
      <c r="AC155" s="77"/>
      <c r="AF155" s="77"/>
    </row>
    <row r="156" spans="1:34" s="74" customFormat="1" ht="51" hidden="1" customHeight="1" x14ac:dyDescent="0.25">
      <c r="A156" s="78" t="s">
        <v>84</v>
      </c>
      <c r="C156" s="74">
        <f>SUMIF(B149:D153,"&gt;0")</f>
        <v>1</v>
      </c>
      <c r="D156" s="77"/>
      <c r="F156" s="74">
        <f>SUMIF(E149:G153,"&gt;0")</f>
        <v>1</v>
      </c>
      <c r="G156" s="77"/>
      <c r="I156" s="74">
        <f>SUMIF(H149:J153,"&gt;0")</f>
        <v>1</v>
      </c>
      <c r="J156" s="77"/>
      <c r="K156" s="77"/>
      <c r="M156" s="74">
        <f>SUMIF(L149:N153,"&gt;0")</f>
        <v>1</v>
      </c>
      <c r="N156" s="77"/>
      <c r="P156" s="74">
        <f>SUMIF(O149:Q153,"&gt;0")</f>
        <v>1</v>
      </c>
      <c r="Q156" s="77"/>
      <c r="S156" s="74">
        <f>SUMIF(R149:T153,"&gt;0")</f>
        <v>1</v>
      </c>
      <c r="T156" s="77"/>
      <c r="V156" s="74">
        <f>SUMIF(U149:W153,"&gt;0")</f>
        <v>0</v>
      </c>
      <c r="W156" s="77"/>
      <c r="Y156" s="74">
        <f>SUMIF(X149:Z153,"&gt;0")</f>
        <v>0</v>
      </c>
      <c r="Z156" s="77"/>
      <c r="AB156" s="74">
        <f>SUMIF(AA149:AC153,"&gt;0")</f>
        <v>0</v>
      </c>
      <c r="AC156" s="77"/>
      <c r="AE156" s="74">
        <f>SUMIF(AD149:AF153,"&gt;0")</f>
        <v>0</v>
      </c>
      <c r="AF156" s="77"/>
      <c r="AG156" s="78" t="s">
        <v>85</v>
      </c>
    </row>
    <row r="157" spans="1:34" s="74" customFormat="1" ht="12.75" hidden="1" customHeight="1" x14ac:dyDescent="0.25">
      <c r="A157" s="74" t="s">
        <v>75</v>
      </c>
      <c r="B157" s="74">
        <f>IF(B109=1,C156,0)</f>
        <v>1</v>
      </c>
      <c r="D157" s="77">
        <f>IF(D109=1,C156,0)</f>
        <v>0</v>
      </c>
      <c r="E157" s="74">
        <f>IF(E109=1,F156,0)</f>
        <v>0</v>
      </c>
      <c r="G157" s="77">
        <f>IF(G109=1,F156,0)</f>
        <v>0</v>
      </c>
      <c r="H157" s="74">
        <f>IF(H109=1,I156,0)</f>
        <v>1</v>
      </c>
      <c r="J157" s="77">
        <f>IF(J109=1,I156,0)</f>
        <v>0</v>
      </c>
      <c r="K157" s="77"/>
      <c r="L157" s="74">
        <f>IF(L109=1,M156,0)</f>
        <v>1</v>
      </c>
      <c r="N157" s="77">
        <f>IF(N109=1,M156,0)</f>
        <v>0</v>
      </c>
      <c r="O157" s="74">
        <f>IF(O109=1,P156,0)</f>
        <v>0</v>
      </c>
      <c r="Q157" s="77">
        <f>IF(Q109=1,P156,0)</f>
        <v>0</v>
      </c>
      <c r="R157" s="74">
        <f>IF(R109=1,S156,0)</f>
        <v>1</v>
      </c>
      <c r="T157" s="77">
        <f>IF(T109=1,S156,0)</f>
        <v>0</v>
      </c>
      <c r="U157" s="74">
        <f>IF(U109=1,V156,0)</f>
        <v>0</v>
      </c>
      <c r="W157" s="77">
        <f>IF(W109=1,V156,0)</f>
        <v>0</v>
      </c>
      <c r="X157" s="74">
        <f>IF(X109=1,Y156,0)</f>
        <v>0</v>
      </c>
      <c r="Z157" s="77">
        <f>IF(Z109=1,Y156,0)</f>
        <v>0</v>
      </c>
      <c r="AA157" s="74">
        <f>IF(AA109=1,AB156,0)</f>
        <v>0</v>
      </c>
      <c r="AC157" s="77">
        <f>IF(AC109=1,AB156,0)</f>
        <v>0</v>
      </c>
      <c r="AD157" s="74">
        <f>IF(AD109=1,AE156,0)</f>
        <v>0</v>
      </c>
      <c r="AF157" s="77">
        <f>IF(AF109=1,AE156,0)</f>
        <v>0</v>
      </c>
      <c r="AG157" s="74">
        <f>SUM(B157:AF157)</f>
        <v>4</v>
      </c>
    </row>
    <row r="158" spans="1:34" s="74" customFormat="1" ht="12.75" hidden="1" customHeight="1" x14ac:dyDescent="0.25">
      <c r="A158" s="74" t="s">
        <v>76</v>
      </c>
      <c r="B158" s="74">
        <f>IF(B109=2,C156,0)</f>
        <v>0</v>
      </c>
      <c r="D158" s="77">
        <f>IF(D109=2,C156,0)</f>
        <v>0</v>
      </c>
      <c r="E158" s="74">
        <f>IF(E109=2,F156,0)</f>
        <v>1</v>
      </c>
      <c r="G158" s="77">
        <f>IF(G109=2,F156,0)</f>
        <v>0</v>
      </c>
      <c r="H158" s="74">
        <f>IF(H109=2,I156,0)</f>
        <v>0</v>
      </c>
      <c r="J158" s="77">
        <f>IF(J109=2,I156,0)</f>
        <v>1</v>
      </c>
      <c r="K158" s="77"/>
      <c r="L158" s="74">
        <f>IF(L109=2,M156,0)</f>
        <v>0</v>
      </c>
      <c r="N158" s="77">
        <f>IF(N109=2,M156,0)</f>
        <v>0</v>
      </c>
      <c r="O158" s="74">
        <f>IF(O109=2,P156,0)</f>
        <v>1</v>
      </c>
      <c r="Q158" s="77">
        <f>IF(Q109=2,P156,0)</f>
        <v>0</v>
      </c>
      <c r="R158" s="74">
        <f>IF(R109=2,S156,0)</f>
        <v>0</v>
      </c>
      <c r="T158" s="77">
        <f>IF(T109=2,S156,0)</f>
        <v>1</v>
      </c>
      <c r="U158" s="74">
        <f>IF(U109=2,V156,0)</f>
        <v>0</v>
      </c>
      <c r="W158" s="77">
        <f>IF(W109=2,V156,0)</f>
        <v>0</v>
      </c>
      <c r="X158" s="74">
        <f>IF(X109=2,Y156,0)</f>
        <v>0</v>
      </c>
      <c r="Z158" s="77">
        <f>IF(Z109=2,Y156,0)</f>
        <v>0</v>
      </c>
      <c r="AA158" s="74">
        <f>IF(AA109=2,AB156,0)</f>
        <v>0</v>
      </c>
      <c r="AC158" s="77">
        <f>IF(AC109=2,AB156,0)</f>
        <v>0</v>
      </c>
      <c r="AD158" s="74">
        <f>IF(AD109=2,AE156,0)</f>
        <v>0</v>
      </c>
      <c r="AF158" s="77">
        <f>IF(AF109=2,AE156,0)</f>
        <v>0</v>
      </c>
      <c r="AG158" s="74">
        <f>SUM(B158:AF158)</f>
        <v>4</v>
      </c>
    </row>
    <row r="159" spans="1:34" s="74" customFormat="1" ht="12.75" hidden="1" customHeight="1" x14ac:dyDescent="0.25">
      <c r="A159" s="74" t="s">
        <v>77</v>
      </c>
      <c r="B159" s="74">
        <f>IF(B109=3,C156,0)</f>
        <v>0</v>
      </c>
      <c r="D159" s="77">
        <f>IF(D109=3,C156,0)</f>
        <v>1</v>
      </c>
      <c r="E159" s="74">
        <f>IF(E109=3,F156,0)</f>
        <v>0</v>
      </c>
      <c r="G159" s="77">
        <f>IF(G109=3,F156,0)</f>
        <v>1</v>
      </c>
      <c r="H159" s="74">
        <f>IF(H109=3,I156,0)</f>
        <v>0</v>
      </c>
      <c r="J159" s="77">
        <f>IF(J109=3,I156,0)</f>
        <v>0</v>
      </c>
      <c r="K159" s="77"/>
      <c r="L159" s="74">
        <f>IF(L109=3,M156,0)</f>
        <v>0</v>
      </c>
      <c r="N159" s="77">
        <f>IF(N109=3,M156,0)</f>
        <v>1</v>
      </c>
      <c r="O159" s="74">
        <f>IF(O109=3,P156,0)</f>
        <v>0</v>
      </c>
      <c r="Q159" s="77">
        <f>IF(Q109=3,P156,0)</f>
        <v>1</v>
      </c>
      <c r="R159" s="74">
        <f>IF(R109=3,S156,0)</f>
        <v>0</v>
      </c>
      <c r="T159" s="77">
        <f>IF(T109=3,S156,0)</f>
        <v>0</v>
      </c>
      <c r="U159" s="74">
        <f>IF(U109=3,V156,0)</f>
        <v>0</v>
      </c>
      <c r="W159" s="77">
        <f>IF(W109=3,V156,0)</f>
        <v>0</v>
      </c>
      <c r="X159" s="74">
        <f>IF(X109=3,Y156,0)</f>
        <v>0</v>
      </c>
      <c r="Z159" s="77">
        <f>IF(Z109=3,Y156,0)</f>
        <v>0</v>
      </c>
      <c r="AA159" s="74">
        <f>IF(AA109=3,AB156,0)</f>
        <v>0</v>
      </c>
      <c r="AC159" s="77">
        <f>IF(AC109=3,AB156,0)</f>
        <v>0</v>
      </c>
      <c r="AD159" s="74">
        <f>IF(AD109=3,AE156,0)</f>
        <v>0</v>
      </c>
      <c r="AF159" s="77">
        <f>IF(AF109=3,AE156,0)</f>
        <v>0</v>
      </c>
      <c r="AG159" s="74">
        <f>SUM(B159:AF159)</f>
        <v>4</v>
      </c>
    </row>
    <row r="160" spans="1:34" s="74" customFormat="1" ht="12.75" hidden="1" customHeight="1" x14ac:dyDescent="0.25">
      <c r="A160" s="74" t="s">
        <v>78</v>
      </c>
      <c r="B160" s="74">
        <f>IF(B109=4,C156,0)</f>
        <v>0</v>
      </c>
      <c r="D160" s="77">
        <f>IF(D109=4,C156,0)</f>
        <v>0</v>
      </c>
      <c r="E160" s="74">
        <f>IF(E109=4,F156,0)</f>
        <v>0</v>
      </c>
      <c r="G160" s="77">
        <f>IF(G109=4,F156,0)</f>
        <v>0</v>
      </c>
      <c r="H160" s="74">
        <f>IF(H109=4,I156,0)</f>
        <v>0</v>
      </c>
      <c r="J160" s="77">
        <f>IF(J109=4,I156,0)</f>
        <v>0</v>
      </c>
      <c r="K160" s="77"/>
      <c r="L160" s="74">
        <f>IF(L109=4,M156,0)</f>
        <v>0</v>
      </c>
      <c r="N160" s="77">
        <f>IF(N109=4,M156,0)</f>
        <v>0</v>
      </c>
      <c r="O160" s="74">
        <f>IF(O109=4,P156,0)</f>
        <v>0</v>
      </c>
      <c r="Q160" s="77">
        <f>IF(Q109=4,P156,0)</f>
        <v>0</v>
      </c>
      <c r="R160" s="74">
        <f>IF(R109=4,S156,0)</f>
        <v>0</v>
      </c>
      <c r="T160" s="77">
        <f>IF(T109=4,S156,0)</f>
        <v>0</v>
      </c>
      <c r="U160" s="74">
        <f>IF(U109=4,V156,0)</f>
        <v>0</v>
      </c>
      <c r="W160" s="77">
        <f>IF(W109=4,V156,0)</f>
        <v>0</v>
      </c>
      <c r="X160" s="74">
        <f>IF(X109=4,Y156,0)</f>
        <v>0</v>
      </c>
      <c r="Z160" s="77">
        <f>IF(Z109=4,Y156,0)</f>
        <v>0</v>
      </c>
      <c r="AA160" s="74">
        <f>IF(AA109=4,AB156,0)</f>
        <v>0</v>
      </c>
      <c r="AC160" s="77">
        <f>IF(AC109=4,AB156,0)</f>
        <v>0</v>
      </c>
      <c r="AD160" s="74">
        <f>IF(AD109=4,AE156,0)</f>
        <v>0</v>
      </c>
      <c r="AF160" s="77">
        <f>IF(AF109=4,AE156,0)</f>
        <v>0</v>
      </c>
      <c r="AG160" s="74">
        <f>SUM(B160:AF160)</f>
        <v>0</v>
      </c>
    </row>
    <row r="161" spans="1:81" s="74" customFormat="1" ht="12.75" hidden="1" customHeight="1" x14ac:dyDescent="0.25">
      <c r="A161" s="74" t="s">
        <v>79</v>
      </c>
      <c r="B161" s="74">
        <f>IF(B109=5,C156,0)</f>
        <v>0</v>
      </c>
      <c r="D161" s="77">
        <f>IF(D109=5,C156,0)</f>
        <v>0</v>
      </c>
      <c r="E161" s="74">
        <f>IF(E109=5,F156,0)</f>
        <v>0</v>
      </c>
      <c r="G161" s="77">
        <f>IF(G109=5,F156,0)</f>
        <v>0</v>
      </c>
      <c r="H161" s="74">
        <f>IF(H109=5,I156,0)</f>
        <v>0</v>
      </c>
      <c r="J161" s="77">
        <f>IF(J109=5,I156,0)</f>
        <v>0</v>
      </c>
      <c r="K161" s="77"/>
      <c r="L161" s="74">
        <f>IF(L109=5,M156,0)</f>
        <v>0</v>
      </c>
      <c r="N161" s="77">
        <f>IF(N109=5,M156,0)</f>
        <v>0</v>
      </c>
      <c r="O161" s="74">
        <f>IF(O109=5,P156,0)</f>
        <v>0</v>
      </c>
      <c r="Q161" s="77">
        <f>IF(Q109=5,P156,0)</f>
        <v>0</v>
      </c>
      <c r="R161" s="74">
        <f>IF(R109=5,S156,0)</f>
        <v>0</v>
      </c>
      <c r="T161" s="77">
        <f>IF(T109=5,S156,0)</f>
        <v>0</v>
      </c>
      <c r="U161" s="74">
        <f>IF(U109=5,V156,0)</f>
        <v>0</v>
      </c>
      <c r="W161" s="77">
        <f>IF(W109=5,V156,0)</f>
        <v>0</v>
      </c>
      <c r="X161" s="74">
        <f>IF(X109=5,Y156,0)</f>
        <v>0</v>
      </c>
      <c r="Z161" s="77">
        <f>IF(Z109=5,Y156,0)</f>
        <v>0</v>
      </c>
      <c r="AA161" s="74">
        <f>IF(AA109=5,AB156,0)</f>
        <v>0</v>
      </c>
      <c r="AC161" s="77">
        <f>IF(AC109=5,AB156,0)</f>
        <v>0</v>
      </c>
      <c r="AD161" s="74">
        <f>IF(AD109=5,AE156,0)</f>
        <v>0</v>
      </c>
      <c r="AF161" s="77">
        <f>IF(AF109=5,AE156,0)</f>
        <v>0</v>
      </c>
      <c r="AG161" s="74">
        <f>SUM(B161:AF161)</f>
        <v>0</v>
      </c>
    </row>
    <row r="162" spans="1:81" hidden="1" x14ac:dyDescent="0.25">
      <c r="A162" s="162"/>
      <c r="B162" s="162"/>
      <c r="C162" s="162"/>
      <c r="D162" s="162"/>
      <c r="E162" s="162"/>
      <c r="F162" s="162"/>
      <c r="G162" s="162"/>
      <c r="H162" s="162"/>
      <c r="I162" s="162"/>
      <c r="J162" s="162"/>
      <c r="K162" s="162"/>
      <c r="L162" s="162"/>
      <c r="M162" s="162"/>
      <c r="N162" s="162"/>
      <c r="O162" s="162"/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  <c r="Z162" s="162"/>
      <c r="AA162" s="162"/>
      <c r="AB162" s="162"/>
      <c r="AC162" s="162"/>
      <c r="AD162" s="162"/>
      <c r="AE162" s="162"/>
      <c r="AF162" s="162"/>
      <c r="AG162" s="162"/>
      <c r="AH162" s="162"/>
      <c r="AI162" s="162"/>
      <c r="AJ162" s="162"/>
      <c r="AK162" s="162"/>
      <c r="AL162" s="162"/>
      <c r="AM162" s="162"/>
      <c r="AN162" s="162"/>
      <c r="AO162" s="159"/>
      <c r="AP162" s="159"/>
      <c r="AQ162" s="159"/>
      <c r="AR162" s="159"/>
      <c r="AS162" s="81"/>
      <c r="AT162" s="81"/>
      <c r="AU162" s="81"/>
      <c r="AV162" s="81"/>
      <c r="AW162" s="152"/>
      <c r="BB162" s="152"/>
      <c r="BE162" s="152"/>
      <c r="BH162" s="152"/>
      <c r="BK162" s="152"/>
      <c r="BN162" s="152"/>
      <c r="BQ162" s="152"/>
      <c r="BT162" s="152"/>
      <c r="BW162" s="152"/>
      <c r="BZ162" s="152"/>
      <c r="CC162" s="152"/>
    </row>
    <row r="163" spans="1:81" s="81" customFormat="1" hidden="1" x14ac:dyDescent="0.25">
      <c r="A163" s="83"/>
      <c r="B163" s="83"/>
      <c r="C163" s="83" t="s">
        <v>86</v>
      </c>
      <c r="D163" s="83">
        <v>1</v>
      </c>
      <c r="E163" s="83"/>
      <c r="F163" s="83"/>
      <c r="G163" s="83">
        <v>2</v>
      </c>
      <c r="H163" s="83"/>
      <c r="I163" s="83"/>
      <c r="J163" s="83">
        <v>3</v>
      </c>
      <c r="K163" s="83"/>
      <c r="L163" s="83"/>
      <c r="M163" s="83"/>
      <c r="N163" s="83">
        <v>4</v>
      </c>
      <c r="O163" s="83"/>
      <c r="P163" s="83"/>
      <c r="Q163" s="83">
        <v>5</v>
      </c>
      <c r="R163" s="83"/>
      <c r="S163" s="83"/>
      <c r="T163" s="83">
        <v>6</v>
      </c>
      <c r="U163" s="83"/>
      <c r="V163" s="83"/>
      <c r="W163" s="83">
        <v>7</v>
      </c>
      <c r="X163" s="83"/>
      <c r="Y163" s="83"/>
      <c r="Z163" s="83">
        <v>8</v>
      </c>
      <c r="AA163" s="83"/>
      <c r="AB163" s="83"/>
      <c r="AC163" s="83">
        <v>9</v>
      </c>
      <c r="AD163" s="83"/>
      <c r="AE163" s="83"/>
      <c r="AF163" s="83">
        <v>10</v>
      </c>
      <c r="AG163"/>
      <c r="AH163" s="83"/>
      <c r="AJ163" s="84"/>
      <c r="AK163"/>
      <c r="AL163"/>
      <c r="AM163"/>
      <c r="AN163"/>
      <c r="AO163"/>
      <c r="AP163"/>
      <c r="AT163" s="84" t="s">
        <v>87</v>
      </c>
      <c r="AW163" s="85"/>
      <c r="BB163" s="85"/>
      <c r="BE163" s="85"/>
      <c r="BH163" s="85"/>
      <c r="BK163" s="85"/>
      <c r="BN163" s="85"/>
      <c r="BQ163" s="85"/>
      <c r="BT163" s="85"/>
      <c r="BW163" s="85"/>
      <c r="BZ163" s="85"/>
      <c r="CC163" s="85"/>
    </row>
    <row r="164" spans="1:81" s="81" customFormat="1" hidden="1" x14ac:dyDescent="0.25">
      <c r="A164" s="86">
        <v>1</v>
      </c>
      <c r="B164" s="86" t="str">
        <f>E93</f>
        <v>Intense Kids power Gvl</v>
      </c>
      <c r="C164" s="86">
        <f>VLOOKUP(B164,AU$3:AY$33,3,FALSE)</f>
        <v>1329.272415012241</v>
      </c>
      <c r="D164" s="86">
        <f>IF(B157,B172,IF(D157,D172,C164))</f>
        <v>1339.5795164135989</v>
      </c>
      <c r="E164" s="86"/>
      <c r="F164" s="86"/>
      <c r="G164" s="86">
        <f>IF(E157,E172,IF(G157,G172,D164))</f>
        <v>1339.5795164135989</v>
      </c>
      <c r="H164" s="86"/>
      <c r="I164" s="86"/>
      <c r="J164" s="86">
        <f>IF(H157,H172,IF(J157,J172,G164))</f>
        <v>1318.0976213417812</v>
      </c>
      <c r="K164" s="86"/>
      <c r="L164" s="86"/>
      <c r="M164" s="86"/>
      <c r="N164" s="86">
        <f>IF(L157,L172,IF(N157,N172,J164))</f>
        <v>1327.8242206302225</v>
      </c>
      <c r="O164" s="86"/>
      <c r="P164" s="86"/>
      <c r="Q164" s="86">
        <f>IF(O157,O172,IF(Q157,Q172,N164))</f>
        <v>1327.8242206302225</v>
      </c>
      <c r="R164" s="86"/>
      <c r="S164" s="86"/>
      <c r="T164" s="86">
        <f>IF(R157,R172,IF(T157,T172,Q164))</f>
        <v>1340.2864854074439</v>
      </c>
      <c r="U164" s="86"/>
      <c r="V164" s="86"/>
      <c r="W164" s="86">
        <f>IF(U157,U172,IF(W157,W172,T164))</f>
        <v>1340.2864854074439</v>
      </c>
      <c r="X164" s="86"/>
      <c r="Y164" s="86"/>
      <c r="Z164" s="86">
        <f>IF(X157,X172,IF(Z157,Z172,W164))</f>
        <v>1340.2864854074439</v>
      </c>
      <c r="AA164" s="86"/>
      <c r="AB164" s="86"/>
      <c r="AC164" s="86">
        <f>IF(AA157,AA172,IF(AC157,AC172,Z164))</f>
        <v>1340.2864854074439</v>
      </c>
      <c r="AD164" s="86"/>
      <c r="AE164" s="86"/>
      <c r="AF164" s="86">
        <f>IF(AD157,AD172,IF(AF157,AF172,AC164))</f>
        <v>1340.2864854074439</v>
      </c>
      <c r="AG164"/>
      <c r="AH164"/>
      <c r="AK164"/>
      <c r="AL164"/>
      <c r="AM164"/>
      <c r="AN164"/>
      <c r="AO164"/>
      <c r="AP164"/>
      <c r="AT164" s="81" t="str">
        <f>B164</f>
        <v>Intense Kids power Gvl</v>
      </c>
      <c r="AU164" s="81">
        <f>AF164</f>
        <v>1340.2864854074439</v>
      </c>
      <c r="AW164" s="85"/>
      <c r="BB164" s="85"/>
      <c r="BE164" s="85"/>
      <c r="BH164" s="85"/>
      <c r="BK164" s="85"/>
      <c r="BN164" s="85"/>
      <c r="BQ164" s="85"/>
      <c r="BT164" s="85"/>
      <c r="BW164" s="85"/>
      <c r="BZ164" s="85"/>
      <c r="CC164" s="85"/>
    </row>
    <row r="165" spans="1:81" s="81" customFormat="1" hidden="1" x14ac:dyDescent="0.25">
      <c r="A165" s="86">
        <v>2</v>
      </c>
      <c r="B165" s="86" t="str">
        <f>E95</f>
        <v>SC Midlands KP Black</v>
      </c>
      <c r="C165" s="86">
        <f>VLOOKUP(B165,AU$3:AY$33,3,FALSE)</f>
        <v>1200</v>
      </c>
      <c r="D165" s="86">
        <f>IF(B158,B172,IF(D158,D172,C165))</f>
        <v>1200</v>
      </c>
      <c r="E165" s="86"/>
      <c r="F165" s="86"/>
      <c r="G165" s="86">
        <f>IF(E158,E172,IF(G158,G172,D165))</f>
        <v>1215.5254796371048</v>
      </c>
      <c r="H165" s="86"/>
      <c r="I165" s="86"/>
      <c r="J165" s="86">
        <f>IF(H158,H172,IF(J158,J172,G165))</f>
        <v>1237.0073747089225</v>
      </c>
      <c r="K165" s="86"/>
      <c r="L165" s="86"/>
      <c r="M165" s="86"/>
      <c r="N165" s="86">
        <f>IF(L158,L172,IF(N158,N172,J165))</f>
        <v>1237.0073747089225</v>
      </c>
      <c r="O165" s="86"/>
      <c r="P165" s="86"/>
      <c r="Q165" s="86">
        <f>IF(O158,O172,IF(Q158,Q172,N165))</f>
        <v>1249.7133224171434</v>
      </c>
      <c r="R165" s="86"/>
      <c r="S165" s="86"/>
      <c r="T165" s="86">
        <f>IF(R158,R172,IF(T158,T172,Q165))</f>
        <v>1237.251057639922</v>
      </c>
      <c r="U165" s="86"/>
      <c r="V165" s="86"/>
      <c r="W165" s="86">
        <f>IF(U158,U172,IF(W158,W172,T165))</f>
        <v>1237.251057639922</v>
      </c>
      <c r="X165" s="86"/>
      <c r="Y165" s="86"/>
      <c r="Z165" s="86">
        <f>IF(X158,X172,IF(Z158,Z172,W165))</f>
        <v>1237.251057639922</v>
      </c>
      <c r="AA165" s="86"/>
      <c r="AB165" s="86"/>
      <c r="AC165" s="86">
        <f>IF(AA158,AA172,IF(AC158,AC172,Z165))</f>
        <v>1237.251057639922</v>
      </c>
      <c r="AD165" s="86"/>
      <c r="AE165" s="86"/>
      <c r="AF165" s="86">
        <f>IF(AD158,AD172,IF(AF158,AF172,AC165))</f>
        <v>1237.251057639922</v>
      </c>
      <c r="AG165"/>
      <c r="AH165"/>
      <c r="AK165"/>
      <c r="AM165"/>
      <c r="AN165"/>
      <c r="AO165"/>
      <c r="AP165"/>
      <c r="AT165" s="81" t="str">
        <f>B165</f>
        <v>SC Midlands KP Black</v>
      </c>
      <c r="AU165" s="81">
        <f>AF165</f>
        <v>1237.251057639922</v>
      </c>
      <c r="AW165" s="85"/>
      <c r="BB165" s="85"/>
      <c r="BE165" s="85"/>
      <c r="BH165" s="85"/>
      <c r="BK165" s="85"/>
      <c r="BN165" s="85"/>
      <c r="BQ165" s="85"/>
      <c r="BT165" s="85"/>
      <c r="BW165" s="85"/>
      <c r="BZ165" s="85"/>
      <c r="CC165" s="85"/>
    </row>
    <row r="166" spans="1:81" s="81" customFormat="1" hidden="1" x14ac:dyDescent="0.25">
      <c r="A166" s="86">
        <v>3</v>
      </c>
      <c r="B166" s="86" t="str">
        <f>E97</f>
        <v>Columbia SC Starlings 12</v>
      </c>
      <c r="C166" s="86">
        <f>VLOOKUP(B166,AU$3:AY$33,3,FALSE)</f>
        <v>1200</v>
      </c>
      <c r="D166" s="86">
        <f>IF(B159,B172,IF(D159,D172,C166))</f>
        <v>1189.6928985986422</v>
      </c>
      <c r="E166" s="86"/>
      <c r="F166" s="86"/>
      <c r="G166" s="86">
        <f>IF(E159,E172,IF(G159,G172,D166))</f>
        <v>1174.1674189615374</v>
      </c>
      <c r="H166" s="86"/>
      <c r="I166" s="86"/>
      <c r="J166" s="86">
        <f>IF(H159,H172,IF(J159,J172,G166))</f>
        <v>1174.1674189615374</v>
      </c>
      <c r="K166" s="86"/>
      <c r="L166" s="86"/>
      <c r="M166" s="86"/>
      <c r="N166" s="86">
        <f>IF(L159,L172,IF(N159,N172,J166))</f>
        <v>1164.4408196730958</v>
      </c>
      <c r="O166" s="86"/>
      <c r="P166" s="86"/>
      <c r="Q166" s="86">
        <f>IF(O159,O172,IF(Q159,Q172,N166))</f>
        <v>1151.7348719648749</v>
      </c>
      <c r="R166" s="86"/>
      <c r="S166" s="86"/>
      <c r="T166" s="86">
        <f>IF(R159,R172,IF(T159,T172,Q166))</f>
        <v>1151.7348719648749</v>
      </c>
      <c r="U166" s="86"/>
      <c r="V166" s="86"/>
      <c r="W166" s="86">
        <f>IF(U159,U172,IF(W159,W172,T166))</f>
        <v>1151.7348719648749</v>
      </c>
      <c r="X166" s="86"/>
      <c r="Y166" s="86"/>
      <c r="Z166" s="86">
        <f>IF(X159,X172,IF(Z159,Z172,W166))</f>
        <v>1151.7348719648749</v>
      </c>
      <c r="AA166" s="86"/>
      <c r="AB166" s="86"/>
      <c r="AC166" s="86">
        <f>IF(AA159,AA172,IF(AC159,AC172,Z166))</f>
        <v>1151.7348719648749</v>
      </c>
      <c r="AD166" s="86"/>
      <c r="AE166" s="86"/>
      <c r="AF166" s="86">
        <f>IF(AD159,AD172,IF(AF159,AF172,AC166))</f>
        <v>1151.7348719648749</v>
      </c>
      <c r="AG166"/>
      <c r="AH166"/>
      <c r="AK166"/>
      <c r="AM166"/>
      <c r="AN166"/>
      <c r="AO166"/>
      <c r="AP166"/>
      <c r="AT166" s="81" t="str">
        <f>B166</f>
        <v>Columbia SC Starlings 12</v>
      </c>
      <c r="AU166" s="81">
        <f>AF166</f>
        <v>1151.7348719648749</v>
      </c>
      <c r="AW166" s="85"/>
      <c r="BB166" s="85"/>
      <c r="BE166" s="85"/>
      <c r="BH166" s="85"/>
      <c r="BK166" s="85"/>
      <c r="BN166" s="85"/>
      <c r="BQ166" s="85"/>
      <c r="BT166" s="85"/>
      <c r="BW166" s="85"/>
      <c r="BZ166" s="85"/>
      <c r="CC166" s="85"/>
    </row>
    <row r="167" spans="1:81" s="81" customFormat="1" hidden="1" x14ac:dyDescent="0.25">
      <c r="A167" s="86">
        <v>4</v>
      </c>
      <c r="B167" s="86">
        <f>E99</f>
        <v>0</v>
      </c>
      <c r="C167" s="86" t="e">
        <f>VLOOKUP(B167,AU$3:AY$33,3,FALSE)</f>
        <v>#N/A</v>
      </c>
      <c r="D167" s="86" t="e">
        <f>IF(B160,B172,IF(D160,D172,C167))</f>
        <v>#N/A</v>
      </c>
      <c r="E167" s="86"/>
      <c r="F167" s="86"/>
      <c r="G167" s="86" t="e">
        <f>IF(E160,E172,IF(G160,G172,D167))</f>
        <v>#N/A</v>
      </c>
      <c r="H167" s="86"/>
      <c r="I167" s="86"/>
      <c r="J167" s="86" t="e">
        <f>IF(H160,H172,IF(J160,J172,G167))</f>
        <v>#N/A</v>
      </c>
      <c r="K167" s="86"/>
      <c r="L167" s="86"/>
      <c r="M167" s="86"/>
      <c r="N167" s="86" t="e">
        <f>IF(L160,L172,IF(N160,N172,J167))</f>
        <v>#N/A</v>
      </c>
      <c r="O167" s="86"/>
      <c r="P167" s="86"/>
      <c r="Q167" s="86" t="e">
        <f>IF(O160,O172,IF(Q160,Q172,N167))</f>
        <v>#N/A</v>
      </c>
      <c r="R167" s="86"/>
      <c r="S167" s="86"/>
      <c r="T167" s="86" t="e">
        <f>IF(R160,R172,IF(T160,T172,Q167))</f>
        <v>#N/A</v>
      </c>
      <c r="U167" s="86"/>
      <c r="V167" s="86"/>
      <c r="W167" s="86" t="e">
        <f>IF(U160,U172,IF(W160,W172,T167))</f>
        <v>#N/A</v>
      </c>
      <c r="X167" s="86"/>
      <c r="Y167" s="86"/>
      <c r="Z167" s="86" t="e">
        <f>IF(X160,X172,IF(Z160,Z172,W167))</f>
        <v>#N/A</v>
      </c>
      <c r="AA167" s="86"/>
      <c r="AB167" s="86"/>
      <c r="AC167" s="86" t="e">
        <f>IF(AA160,AA172,IF(AC160,AC172,Z167))</f>
        <v>#N/A</v>
      </c>
      <c r="AD167" s="86"/>
      <c r="AE167" s="86"/>
      <c r="AF167" s="86" t="e">
        <f>IF(AD160,AD172,IF(AF160,AF172,AC167))</f>
        <v>#N/A</v>
      </c>
      <c r="AG167"/>
      <c r="AH167"/>
      <c r="AK167"/>
      <c r="AM167"/>
      <c r="AN167"/>
      <c r="AO167"/>
      <c r="AP167"/>
      <c r="AT167" s="81">
        <f>B167</f>
        <v>0</v>
      </c>
      <c r="AU167" s="81" t="e">
        <f>AF167</f>
        <v>#N/A</v>
      </c>
      <c r="AW167" s="85"/>
      <c r="BB167" s="85"/>
      <c r="BE167" s="85"/>
      <c r="BH167" s="85"/>
      <c r="BK167" s="85"/>
      <c r="BN167" s="85"/>
      <c r="BQ167" s="85"/>
      <c r="BT167" s="85"/>
      <c r="BW167" s="85"/>
      <c r="BZ167" s="85"/>
      <c r="CC167" s="85"/>
    </row>
    <row r="168" spans="1:81" s="81" customFormat="1" hidden="1" x14ac:dyDescent="0.25">
      <c r="A168" s="86">
        <v>5</v>
      </c>
      <c r="B168" s="86">
        <f>E101</f>
        <v>0</v>
      </c>
      <c r="C168" s="86" t="e">
        <f>VLOOKUP(B168,AU$3:AY$33,3,FALSE)</f>
        <v>#N/A</v>
      </c>
      <c r="D168" s="86" t="e">
        <f>IF(B161,B172,IF(D161,D172,C168))</f>
        <v>#N/A</v>
      </c>
      <c r="E168" s="86"/>
      <c r="F168" s="86"/>
      <c r="G168" s="86" t="e">
        <f>IF(E161,E172,IF(G161,G172,D168))</f>
        <v>#N/A</v>
      </c>
      <c r="H168" s="86"/>
      <c r="I168" s="86"/>
      <c r="J168" s="86" t="e">
        <f>IF(H161,H172,IF(J161,J172,G168))</f>
        <v>#N/A</v>
      </c>
      <c r="K168" s="86"/>
      <c r="L168" s="86"/>
      <c r="M168" s="86"/>
      <c r="N168" s="86" t="e">
        <f>IF(L161,L172,IF(N161,N172,J168))</f>
        <v>#N/A</v>
      </c>
      <c r="O168" s="86"/>
      <c r="P168" s="86"/>
      <c r="Q168" s="86" t="e">
        <f>IF(O161,O172,IF(Q161,Q172,N168))</f>
        <v>#N/A</v>
      </c>
      <c r="R168" s="86"/>
      <c r="S168" s="86"/>
      <c r="T168" s="86" t="e">
        <f>IF(R161,R172,IF(T161,T172,Q168))</f>
        <v>#N/A</v>
      </c>
      <c r="U168" s="86"/>
      <c r="V168" s="86"/>
      <c r="W168" s="86" t="e">
        <f>IF(U161,U172,IF(W161,W172,T168))</f>
        <v>#N/A</v>
      </c>
      <c r="X168" s="86"/>
      <c r="Y168" s="86"/>
      <c r="Z168" s="86" t="e">
        <f>IF(X161,X172,IF(Z161,Z172,W168))</f>
        <v>#N/A</v>
      </c>
      <c r="AA168" s="86"/>
      <c r="AB168" s="86"/>
      <c r="AC168" s="86" t="e">
        <f>IF(AA161,AA172,IF(AC161,AC172,Z168))</f>
        <v>#N/A</v>
      </c>
      <c r="AD168" s="86"/>
      <c r="AE168" s="86"/>
      <c r="AF168" s="86" t="e">
        <f>IF(AD161,AD172,IF(AF161,AF172,AC168))</f>
        <v>#N/A</v>
      </c>
      <c r="AG168"/>
      <c r="AH168"/>
      <c r="AK168"/>
      <c r="AM168"/>
      <c r="AN168"/>
      <c r="AO168"/>
      <c r="AP168"/>
      <c r="AT168" s="81">
        <f>B168</f>
        <v>0</v>
      </c>
      <c r="AU168" s="81" t="e">
        <f>AF168</f>
        <v>#N/A</v>
      </c>
      <c r="AW168" s="85"/>
      <c r="BB168" s="85"/>
      <c r="BE168" s="85"/>
      <c r="BH168" s="85"/>
      <c r="BK168" s="85"/>
      <c r="BN168" s="85"/>
      <c r="BQ168" s="85"/>
      <c r="BT168" s="85"/>
      <c r="BW168" s="85"/>
      <c r="BZ168" s="85"/>
      <c r="CC168" s="85"/>
    </row>
    <row r="169" spans="1:81" s="81" customFormat="1" hidden="1" x14ac:dyDescent="0.25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/>
      <c r="AH169"/>
      <c r="AK169"/>
      <c r="AM169"/>
      <c r="AN169"/>
      <c r="AO169"/>
      <c r="AP169"/>
      <c r="AW169" s="85"/>
      <c r="BB169" s="85"/>
      <c r="BE169" s="85"/>
      <c r="BH169" s="85"/>
      <c r="BK169" s="85"/>
      <c r="BN169" s="85"/>
      <c r="BQ169" s="85"/>
      <c r="BT169" s="85"/>
      <c r="BW169" s="85"/>
      <c r="BZ169" s="85"/>
      <c r="CC169" s="85"/>
    </row>
    <row r="170" spans="1:81" s="81" customFormat="1" hidden="1" x14ac:dyDescent="0.25">
      <c r="A170" s="86" t="s">
        <v>88</v>
      </c>
      <c r="B170" s="86">
        <f>VLOOKUP(B109,$A164:$AF168,3,FALSE)</f>
        <v>1329.272415012241</v>
      </c>
      <c r="C170" s="86">
        <v>1</v>
      </c>
      <c r="D170" s="86">
        <f>VLOOKUP(D109,$A164:$AF168,3,FALSE)</f>
        <v>1200</v>
      </c>
      <c r="E170" s="86">
        <f>VLOOKUP(E109,$A164:$AF168,4,FALSE)</f>
        <v>1200</v>
      </c>
      <c r="F170" s="86">
        <v>2</v>
      </c>
      <c r="G170" s="86">
        <f>VLOOKUP(G109,$A164:$AF168,4,FALSE)</f>
        <v>1189.6928985986422</v>
      </c>
      <c r="H170" s="86">
        <f>VLOOKUP(H109,$A164:$AF168,7,FALSE)</f>
        <v>1339.5795164135989</v>
      </c>
      <c r="I170" s="86">
        <v>3</v>
      </c>
      <c r="J170" s="86">
        <f>VLOOKUP(J109,$A164:$AF168,7,FALSE)</f>
        <v>1215.5254796371048</v>
      </c>
      <c r="K170" s="86"/>
      <c r="L170" s="86">
        <f>VLOOKUP(L109,$A164:$AF168,10,FALSE)</f>
        <v>1318.0976213417812</v>
      </c>
      <c r="M170" s="86">
        <v>4</v>
      </c>
      <c r="N170" s="86">
        <f>VLOOKUP(N109,$A164:$AF168,10,FALSE)</f>
        <v>1174.1674189615374</v>
      </c>
      <c r="O170" s="86">
        <f>VLOOKUP(O109,$A164:$AF168,14,FALSE)</f>
        <v>1237.0073747089225</v>
      </c>
      <c r="P170" s="86">
        <v>5</v>
      </c>
      <c r="Q170" s="86">
        <f>VLOOKUP(Q109,$A164:$AF168,14,FALSE)</f>
        <v>1164.4408196730958</v>
      </c>
      <c r="R170" s="86">
        <f>VLOOKUP(R109,$A164:$AF168,17,FALSE)</f>
        <v>1327.8242206302225</v>
      </c>
      <c r="S170" s="86">
        <v>6</v>
      </c>
      <c r="T170" s="86">
        <f>VLOOKUP(T109,$A164:$AF168,17,FALSE)</f>
        <v>1249.7133224171434</v>
      </c>
      <c r="U170" s="86">
        <f>VLOOKUP(U109,$A164:$AF168,20,FALSE)</f>
        <v>1237.251057639922</v>
      </c>
      <c r="V170" s="86">
        <v>7</v>
      </c>
      <c r="W170" s="86">
        <f>VLOOKUP(W109,$A164:$AF168,20,FALSE)</f>
        <v>1151.7348719648749</v>
      </c>
      <c r="X170" s="86">
        <f>VLOOKUP(X109,$A164:$AF168,23,FALSE)</f>
        <v>1340.2864854074439</v>
      </c>
      <c r="Y170" s="86">
        <v>8</v>
      </c>
      <c r="Z170" s="86" t="e">
        <f>VLOOKUP(Z109,$A164:$AF168,23,FALSE)</f>
        <v>#N/A</v>
      </c>
      <c r="AA170" s="86">
        <f>VLOOKUP(AA109,$A164:$AF168,26,FALSE)</f>
        <v>1151.7348719648749</v>
      </c>
      <c r="AB170" s="86">
        <v>9</v>
      </c>
      <c r="AC170" s="86" t="e">
        <f>VLOOKUP(AC109,$A164:$AF168,26,FALSE)</f>
        <v>#N/A</v>
      </c>
      <c r="AD170" s="86">
        <f>VLOOKUP(AD109,$A164:$AF168,29,FALSE)</f>
        <v>1340.2864854074439</v>
      </c>
      <c r="AE170" s="86">
        <v>10</v>
      </c>
      <c r="AF170" s="86">
        <f>VLOOKUP(AF109,$A164:$AF168,29,FALSE)</f>
        <v>1237.251057639922</v>
      </c>
      <c r="AG170"/>
      <c r="AH170" s="162"/>
      <c r="AI170" s="162"/>
      <c r="AJ170" s="162"/>
      <c r="AK170" s="162"/>
      <c r="AL170" s="162"/>
      <c r="AM170" s="162"/>
      <c r="AN170" s="162"/>
      <c r="AO170" s="159"/>
      <c r="AP170" s="159"/>
      <c r="AQ170" s="159"/>
      <c r="AR170" s="159"/>
      <c r="AW170" s="85"/>
      <c r="BB170" s="85"/>
      <c r="BE170" s="85"/>
      <c r="BH170" s="85"/>
      <c r="BK170" s="85"/>
      <c r="BN170" s="85"/>
      <c r="BQ170" s="85"/>
      <c r="BT170" s="85"/>
      <c r="BW170" s="85"/>
      <c r="BZ170" s="85"/>
      <c r="CC170" s="85"/>
    </row>
    <row r="171" spans="1:81" s="91" customFormat="1" hidden="1" x14ac:dyDescent="0.25">
      <c r="A171" s="87" t="s">
        <v>89</v>
      </c>
      <c r="B171" s="87">
        <f>1/(1+(10^-((B170-D170)/400)))*(B121+D121)</f>
        <v>0.67790308120756904</v>
      </c>
      <c r="C171" s="87"/>
      <c r="D171" s="87">
        <f>1/(1+(10^-((D170-B170)/400)))*(B121+D121)</f>
        <v>0.32209691879243096</v>
      </c>
      <c r="E171" s="87">
        <f>1/(1+(10^-((E170-G170)/400)))*(E121+G121)</f>
        <v>0.51482876134047306</v>
      </c>
      <c r="F171" s="87"/>
      <c r="G171" s="87">
        <f>1/(1+(10^-((G170-E170)/400)))*(E121+G121)</f>
        <v>0.48517123865952694</v>
      </c>
      <c r="H171" s="87">
        <f>1/(1+(10^-((H170-J170)/400)))*(H121+J121)</f>
        <v>0.67130922099430135</v>
      </c>
      <c r="I171" s="87"/>
      <c r="J171" s="87">
        <f>1/(1+(10^-((J170-H170)/400)))*(H121+J121)</f>
        <v>0.32869077900569865</v>
      </c>
      <c r="K171" s="87"/>
      <c r="L171" s="87">
        <f>1/(1+(10^-((L170-N170)/400)))*(L121+N121)</f>
        <v>0.69604377223620517</v>
      </c>
      <c r="M171" s="87"/>
      <c r="N171" s="87">
        <f>1/(1+(10^-((N170-L170)/400)))*(L121+N121)</f>
        <v>0.30395622776379488</v>
      </c>
      <c r="O171" s="87">
        <f>1/(1+(10^-((O170-Q170)/400)))*(O121+Q121)</f>
        <v>0.60293913411809541</v>
      </c>
      <c r="P171" s="87"/>
      <c r="Q171" s="87">
        <f>1/(1+(10^-((Q170-O170)/400)))*(O121+Q121)</f>
        <v>0.39706086588190459</v>
      </c>
      <c r="R171" s="87">
        <f>1/(1+(10^-((R170-T170)/400)))*(R121+T121)</f>
        <v>0.61055422571183304</v>
      </c>
      <c r="S171" s="87"/>
      <c r="T171" s="87">
        <f>1/(1+(10^-((T170-R170)/400)))*(R121+T121)</f>
        <v>0.3894457742881669</v>
      </c>
      <c r="U171" s="87">
        <f>1/(1+(10^-((U170-W170)/400)))*(U121+W121)</f>
        <v>0</v>
      </c>
      <c r="V171" s="87"/>
      <c r="W171" s="87">
        <f>1/(1+(10^-((W170-U170)/400)))*(U121+W121)</f>
        <v>0</v>
      </c>
      <c r="X171" s="87" t="e">
        <f>1/(1+(10^-((X170-Z170)/400)))*(X121+Z121)</f>
        <v>#N/A</v>
      </c>
      <c r="Y171" s="87"/>
      <c r="Z171" s="87" t="e">
        <f>1/(1+(10^-((Z170-X170)/400)))*(X121+Z121)</f>
        <v>#N/A</v>
      </c>
      <c r="AA171" s="87" t="e">
        <f>1/(1+(10^-((AA170-AC170)/400)))*(AA121+AC121)</f>
        <v>#N/A</v>
      </c>
      <c r="AB171" s="87"/>
      <c r="AC171" s="87" t="e">
        <f>1/(1+(10^-((AC170-AA170)/400)))*(AA121+AC121)</f>
        <v>#N/A</v>
      </c>
      <c r="AD171" s="87">
        <f>1/(1+(10^-((AD170-AF170)/400)))*(AD121+AF121)</f>
        <v>0</v>
      </c>
      <c r="AE171" s="87"/>
      <c r="AF171" s="87">
        <f>1/(1+(10^-((AF170-AD170)/400)))*(AD121+AF121)</f>
        <v>0</v>
      </c>
      <c r="AG171" s="88"/>
      <c r="AH171" s="89"/>
      <c r="AI171" s="89"/>
      <c r="AJ171" s="89"/>
      <c r="AK171" s="89"/>
      <c r="AL171" s="89"/>
      <c r="AM171" s="89"/>
      <c r="AN171" s="89"/>
      <c r="AO171" s="90"/>
      <c r="AP171" s="90"/>
      <c r="AQ171" s="90"/>
      <c r="AR171" s="90"/>
      <c r="AW171" s="92"/>
      <c r="BB171" s="92"/>
      <c r="BE171" s="92"/>
      <c r="BH171" s="92"/>
      <c r="BK171" s="92"/>
      <c r="BN171" s="92"/>
      <c r="BQ171" s="92"/>
      <c r="BT171" s="92"/>
      <c r="BW171" s="92"/>
      <c r="BZ171" s="92"/>
      <c r="CC171" s="92"/>
    </row>
    <row r="172" spans="1:81" s="97" customFormat="1" hidden="1" x14ac:dyDescent="0.25">
      <c r="A172" s="93" t="s">
        <v>90</v>
      </c>
      <c r="B172" s="93">
        <f>B170+(B121-B171)*$BA$1</f>
        <v>1339.5795164135989</v>
      </c>
      <c r="C172" s="93"/>
      <c r="D172" s="93">
        <f>D170+(D121-D171)*$BA$1</f>
        <v>1189.6928985986422</v>
      </c>
      <c r="E172" s="93">
        <f>E170+(E121-E171)*$BA$1</f>
        <v>1215.5254796371048</v>
      </c>
      <c r="F172" s="93"/>
      <c r="G172" s="93">
        <f>G170+(G121-G171)*$BA$1</f>
        <v>1174.1674189615374</v>
      </c>
      <c r="H172" s="93">
        <f>H170+(H121-H171)*$BA$1</f>
        <v>1318.0976213417812</v>
      </c>
      <c r="I172" s="93"/>
      <c r="J172" s="93">
        <f>J170+(J121-J171)*$BA$1</f>
        <v>1237.0073747089225</v>
      </c>
      <c r="K172" s="93"/>
      <c r="L172" s="93">
        <f>L170+(L121-L171)*$BA$1</f>
        <v>1327.8242206302225</v>
      </c>
      <c r="M172" s="93"/>
      <c r="N172" s="93">
        <f>N170+(N121-N171)*$BA$1</f>
        <v>1164.4408196730958</v>
      </c>
      <c r="O172" s="93">
        <f>O170+(O121-O171)*$BA$1</f>
        <v>1249.7133224171434</v>
      </c>
      <c r="P172" s="93"/>
      <c r="Q172" s="93">
        <f>Q170+(Q121-Q171)*$BA$1</f>
        <v>1151.7348719648749</v>
      </c>
      <c r="R172" s="93">
        <f>R170+(R121-R171)*$BA$1</f>
        <v>1340.2864854074439</v>
      </c>
      <c r="S172" s="93"/>
      <c r="T172" s="93">
        <f>T170+(T121-T171)*$BA$1</f>
        <v>1237.251057639922</v>
      </c>
      <c r="U172" s="93">
        <f>U170+(U121-U171)*$BA$1</f>
        <v>1237.251057639922</v>
      </c>
      <c r="V172" s="93"/>
      <c r="W172" s="93">
        <f>W170+(W121-W171)*$BA$1</f>
        <v>1151.7348719648749</v>
      </c>
      <c r="X172" s="93" t="e">
        <f>X170+(X121-X171)*$BA$1</f>
        <v>#N/A</v>
      </c>
      <c r="Y172" s="93"/>
      <c r="Z172" s="93" t="e">
        <f>Z170+(Z121-Z171)*$BA$1</f>
        <v>#N/A</v>
      </c>
      <c r="AA172" s="93" t="e">
        <f>AA170+(AA121-AA171)*$BA$1</f>
        <v>#N/A</v>
      </c>
      <c r="AB172" s="93"/>
      <c r="AC172" s="93" t="e">
        <f>AC170+(AC121-AC171)*$BA$1</f>
        <v>#N/A</v>
      </c>
      <c r="AD172" s="93">
        <f>AD170+(AD121-AD171)*$BA$1</f>
        <v>1340.2864854074439</v>
      </c>
      <c r="AE172" s="93"/>
      <c r="AF172" s="93">
        <f>AF170+(AF121-AF171)*$BA$1</f>
        <v>1237.251057639922</v>
      </c>
      <c r="AG172" s="94"/>
      <c r="AH172" s="95"/>
      <c r="AI172" s="95"/>
      <c r="AJ172" s="95"/>
      <c r="AK172" s="95"/>
      <c r="AL172" s="95"/>
      <c r="AM172" s="95"/>
      <c r="AN172" s="95"/>
      <c r="AO172" s="96"/>
      <c r="AP172" s="96"/>
      <c r="AQ172" s="96"/>
      <c r="AR172" s="96"/>
      <c r="AW172" s="98"/>
      <c r="BB172" s="98"/>
      <c r="BE172" s="98"/>
      <c r="BH172" s="98"/>
      <c r="BK172" s="98"/>
      <c r="BN172" s="98"/>
      <c r="BQ172" s="98"/>
      <c r="BT172" s="98"/>
      <c r="BW172" s="98"/>
      <c r="BZ172" s="98"/>
      <c r="CC172" s="98"/>
    </row>
    <row r="173" spans="1:81" s="97" customFormat="1" hidden="1" x14ac:dyDescent="0.25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  <c r="AF173" s="93"/>
      <c r="AG173" s="94"/>
      <c r="AH173" s="95"/>
      <c r="AI173" s="95"/>
      <c r="AJ173" s="95"/>
      <c r="AK173" s="95"/>
      <c r="AL173" s="95"/>
      <c r="AM173" s="95"/>
      <c r="AN173" s="95"/>
      <c r="AO173" s="96"/>
      <c r="AP173" s="96"/>
      <c r="AQ173" s="96"/>
      <c r="AR173" s="96"/>
      <c r="AW173" s="98"/>
      <c r="BB173" s="98"/>
      <c r="BE173" s="98"/>
      <c r="BH173" s="98"/>
      <c r="BK173" s="98"/>
      <c r="BN173" s="98"/>
      <c r="BQ173" s="98"/>
      <c r="BT173" s="98"/>
      <c r="BW173" s="98"/>
      <c r="BZ173" s="98"/>
      <c r="CC173" s="98"/>
    </row>
    <row r="174" spans="1:81" s="81" customFormat="1" x14ac:dyDescent="0.25">
      <c r="A174" s="308" t="str">
        <f>IF($AL95=1,"Pool Tiereaker : 1) Matches Won vs Lost (if 3 way tie then #4)  2) Head to Head  3) Game Win %  4) Total Pool Net Points  5) Flip a Coin","Pool Tiebreaker : 1) Games Won vs Lost (if 3 way tie then #5)  2) Head to Head  3) Head to Head Net Points  4) Game Win %  5) Total Pool Net Points  6) Flip a Coin")</f>
        <v>Pool Tiereaker : 1) Matches Won vs Lost (if 3 way tie then #4)  2) Head to Head  3) Game Win %  4) Total Pool Net Points  5) Flip a Coin</v>
      </c>
      <c r="B174" s="308"/>
      <c r="C174" s="308"/>
      <c r="D174" s="308"/>
      <c r="E174" s="308"/>
      <c r="F174" s="308"/>
      <c r="G174" s="308"/>
      <c r="H174" s="308"/>
      <c r="I174" s="308"/>
      <c r="J174" s="308"/>
      <c r="K174" s="308"/>
      <c r="L174" s="308"/>
      <c r="M174" s="308"/>
      <c r="N174" s="308"/>
      <c r="O174" s="308"/>
      <c r="P174" s="308"/>
      <c r="Q174" s="308"/>
      <c r="R174" s="308"/>
      <c r="S174" s="308"/>
      <c r="T174" s="308"/>
      <c r="U174" s="308"/>
      <c r="V174" s="308"/>
      <c r="W174" s="308"/>
      <c r="X174" s="308"/>
      <c r="Y174" s="308"/>
      <c r="Z174" s="308"/>
      <c r="AA174" s="308"/>
      <c r="AB174" s="308"/>
      <c r="AC174" s="308"/>
      <c r="AD174" s="308"/>
      <c r="AE174" s="308"/>
      <c r="AF174" s="308"/>
      <c r="AG174" s="308"/>
      <c r="AH174" s="308"/>
      <c r="AI174" s="308"/>
      <c r="AJ174" s="308"/>
      <c r="AK174" s="308"/>
      <c r="AL174" s="308"/>
      <c r="AM174" s="308"/>
      <c r="AN174" s="309"/>
      <c r="AO174" s="309"/>
      <c r="AP174" s="309"/>
      <c r="AQ174" s="309"/>
    </row>
    <row r="175" spans="1:81" s="81" customFormat="1" x14ac:dyDescent="0.25">
      <c r="A175" s="310"/>
      <c r="B175" s="310"/>
      <c r="C175" s="310"/>
      <c r="D175" s="310"/>
      <c r="E175" s="310"/>
      <c r="F175" s="310"/>
      <c r="G175" s="310"/>
      <c r="H175" s="310"/>
      <c r="I175" s="310"/>
      <c r="J175" s="310"/>
      <c r="K175" s="310"/>
      <c r="L175" s="310"/>
      <c r="M175" s="310"/>
      <c r="N175" s="310"/>
      <c r="O175" s="310"/>
      <c r="P175" s="310"/>
      <c r="Q175" s="310"/>
      <c r="R175" s="310"/>
      <c r="S175" s="310"/>
      <c r="T175" s="310"/>
      <c r="U175" s="310"/>
      <c r="V175" s="310"/>
      <c r="W175" s="310"/>
      <c r="X175" s="310"/>
      <c r="Y175" s="310"/>
      <c r="Z175" s="310"/>
      <c r="AA175" s="310"/>
      <c r="AB175" s="310"/>
      <c r="AC175" s="310"/>
      <c r="AD175" s="310"/>
      <c r="AE175" s="310"/>
      <c r="AF175" s="310"/>
      <c r="AG175" s="310"/>
      <c r="AH175" s="310"/>
      <c r="AI175" s="310"/>
      <c r="AJ175" s="310"/>
      <c r="AK175" s="310"/>
      <c r="AL175" s="310"/>
      <c r="AM175" s="310"/>
      <c r="AN175" s="310"/>
      <c r="AO175" s="310"/>
      <c r="AP175" s="310"/>
      <c r="AQ175" s="310"/>
      <c r="AR175" s="310"/>
    </row>
    <row r="176" spans="1:81" ht="21" thickBot="1" x14ac:dyDescent="0.4">
      <c r="A176" s="314" t="s">
        <v>94</v>
      </c>
      <c r="B176" s="314"/>
      <c r="C176" s="314"/>
      <c r="D176" s="314"/>
      <c r="E176" s="314"/>
      <c r="F176" s="314"/>
      <c r="G176" s="314"/>
      <c r="H176" s="314"/>
      <c r="I176" s="314"/>
      <c r="J176" s="314"/>
      <c r="K176" s="314"/>
      <c r="L176" s="314"/>
      <c r="M176" s="314"/>
      <c r="N176" s="314"/>
      <c r="O176" s="314"/>
      <c r="P176" s="314"/>
      <c r="Q176" s="314"/>
      <c r="R176" s="314"/>
      <c r="S176" s="314"/>
      <c r="T176" s="314"/>
      <c r="U176" s="314"/>
      <c r="V176" s="314"/>
      <c r="W176" s="314"/>
      <c r="X176" s="314"/>
      <c r="Y176" s="314"/>
      <c r="Z176" s="314"/>
      <c r="AA176" s="314"/>
      <c r="AB176" s="314"/>
      <c r="AC176" s="314"/>
      <c r="AD176" s="314"/>
      <c r="AE176" s="314"/>
      <c r="AF176" s="314"/>
      <c r="AG176" s="314"/>
      <c r="AH176" s="314"/>
      <c r="AI176" s="314"/>
      <c r="AJ176" s="314"/>
      <c r="AK176" s="314"/>
      <c r="AL176" s="314"/>
      <c r="AM176" s="314"/>
      <c r="AN176" s="314"/>
      <c r="AO176" s="314"/>
      <c r="AP176" s="314"/>
      <c r="AQ176" s="314"/>
    </row>
    <row r="177" spans="1:53" ht="13.8" thickBot="1" x14ac:dyDescent="0.3">
      <c r="A177" s="315" t="s">
        <v>95</v>
      </c>
      <c r="B177" s="317" t="s">
        <v>96</v>
      </c>
      <c r="C177" s="318"/>
      <c r="D177" s="318"/>
      <c r="E177" s="318"/>
      <c r="F177" s="318"/>
      <c r="G177" s="318"/>
      <c r="H177" s="318"/>
      <c r="I177" s="318"/>
      <c r="J177" s="318"/>
      <c r="K177" s="319"/>
      <c r="L177" s="317" t="s">
        <v>97</v>
      </c>
      <c r="M177" s="318"/>
      <c r="N177" s="318"/>
      <c r="O177" s="318"/>
      <c r="P177" s="318"/>
      <c r="Q177" s="318"/>
      <c r="R177" s="318"/>
      <c r="S177" s="318"/>
      <c r="T177" s="318"/>
      <c r="U177" s="319"/>
      <c r="V177" s="317" t="s">
        <v>98</v>
      </c>
      <c r="W177" s="318"/>
      <c r="X177" s="318"/>
      <c r="Y177" s="318"/>
      <c r="Z177" s="318"/>
      <c r="AA177" s="318"/>
      <c r="AB177" s="318"/>
      <c r="AC177" s="318"/>
      <c r="AD177" s="318"/>
      <c r="AE177" s="319"/>
      <c r="AF177" s="317" t="s">
        <v>99</v>
      </c>
      <c r="AG177" s="318"/>
      <c r="AH177" s="318"/>
      <c r="AI177" s="318"/>
      <c r="AJ177" s="318"/>
      <c r="AK177" s="318"/>
      <c r="AL177" s="318"/>
      <c r="AM177" s="318"/>
      <c r="AN177" s="318"/>
      <c r="AO177" s="319"/>
    </row>
    <row r="178" spans="1:53" ht="13.8" thickBot="1" x14ac:dyDescent="0.3">
      <c r="A178" s="316"/>
      <c r="B178" s="320" t="s">
        <v>8</v>
      </c>
      <c r="C178" s="321"/>
      <c r="D178" s="321"/>
      <c r="E178" s="321"/>
      <c r="F178" s="321"/>
      <c r="G178" s="322"/>
      <c r="H178" s="320" t="s">
        <v>100</v>
      </c>
      <c r="I178" s="321"/>
      <c r="J178" s="321"/>
      <c r="K178" s="322"/>
      <c r="L178" s="320" t="s">
        <v>8</v>
      </c>
      <c r="M178" s="321"/>
      <c r="N178" s="321"/>
      <c r="O178" s="321"/>
      <c r="P178" s="321"/>
      <c r="Q178" s="322"/>
      <c r="R178" s="320" t="s">
        <v>100</v>
      </c>
      <c r="S178" s="321"/>
      <c r="T178" s="321"/>
      <c r="U178" s="322"/>
      <c r="V178" s="320" t="s">
        <v>8</v>
      </c>
      <c r="W178" s="321"/>
      <c r="X178" s="321"/>
      <c r="Y178" s="321"/>
      <c r="Z178" s="321"/>
      <c r="AA178" s="322"/>
      <c r="AB178" s="320" t="s">
        <v>100</v>
      </c>
      <c r="AC178" s="321"/>
      <c r="AD178" s="321"/>
      <c r="AE178" s="322"/>
      <c r="AF178" s="320" t="s">
        <v>8</v>
      </c>
      <c r="AG178" s="321"/>
      <c r="AH178" s="321"/>
      <c r="AI178" s="321"/>
      <c r="AJ178" s="321"/>
      <c r="AK178" s="322"/>
      <c r="AL178" s="320" t="s">
        <v>100</v>
      </c>
      <c r="AM178" s="321"/>
      <c r="AN178" s="321"/>
      <c r="AO178" s="322"/>
    </row>
    <row r="179" spans="1:53" x14ac:dyDescent="0.25">
      <c r="A179" s="99" t="s">
        <v>101</v>
      </c>
      <c r="B179" s="323" t="str">
        <f>IF($AG$8=1,$E$8,IF($AG$10=1,$E$10,IF($AG$12=1,$E$12,IF($AG$14=1,$E$14,IF($AG$16=1,$E$16,"1st Place "&amp;$A179)))))</f>
        <v>SC Midlands KP Garnet</v>
      </c>
      <c r="C179" s="324"/>
      <c r="D179" s="324"/>
      <c r="E179" s="324"/>
      <c r="F179" s="324"/>
      <c r="G179" s="324"/>
      <c r="H179" s="325" t="str">
        <f>IF($AG$8=1,$E$9,IF($AG$10=1,$E$11,IF($AG$12=1,$E$13,IF($AG$14=1,$E$15,IF($AG$16=1,$E$17,"1st Place "&amp;$A179)))))</f>
        <v>fj1scmid2pm</v>
      </c>
      <c r="I179" s="325"/>
      <c r="J179" s="325"/>
      <c r="K179" s="326"/>
      <c r="L179" s="323" t="str">
        <f>IF($AG$8=2,$E$8,IF($AG$10=2,$E$10,IF($AG$12=2,$E$12,IF($AG$14=2,$E$14,IF($AG$16=2,$E$16,"2nd Place "&amp;$A179)))))</f>
        <v>Kershaw Dev 12 Black</v>
      </c>
      <c r="M179" s="324"/>
      <c r="N179" s="324"/>
      <c r="O179" s="324"/>
      <c r="P179" s="324"/>
      <c r="Q179" s="324"/>
      <c r="R179" s="325" t="str">
        <f>IF($AG$8=2,$E$9,IF($AG$10=2,$E$11,IF($AG$12=2,$E$13,IF($AG$14=2,$E$15,IF($AG$16=2,$E$17,"2nd Place "&amp;$A179)))))</f>
        <v>fj2kersh4pm</v>
      </c>
      <c r="S179" s="325"/>
      <c r="T179" s="325"/>
      <c r="U179" s="326"/>
      <c r="V179" s="323" t="str">
        <f>IF($AG$8=3,$E$8,IF($AG$10=3,$E$10,IF($AG$12=3,$E$12,IF($AG$14=3,$E$14,IF($AG$16=3,$E$16,"3rd Place "&amp;$A179)))))</f>
        <v>SC Midlands KP Silver</v>
      </c>
      <c r="W179" s="324"/>
      <c r="X179" s="324"/>
      <c r="Y179" s="324"/>
      <c r="Z179" s="324"/>
      <c r="AA179" s="324"/>
      <c r="AB179" s="325" t="str">
        <f>IF($AG$8=3,$E$9,IF($AG$10=3,$E$11,IF($AG$12=3,$E$13,IF($AG$14=3,$E$15,IF($AG$16=3,$E$17,"3rd Place "&amp;$A179)))))</f>
        <v>fj1scmid4pm</v>
      </c>
      <c r="AC179" s="325"/>
      <c r="AD179" s="325"/>
      <c r="AE179" s="326"/>
      <c r="AF179" s="323" t="str">
        <f>IF($AG$8=4,$E$8,IF($AG$10=4,$E$10,IF($AG$12=4,$E$12,IF($AG$14=4,$E$14,IF($AG$16=4,$E$16,"4th Place "&amp;$A179)))))</f>
        <v>Foothills Skylar</v>
      </c>
      <c r="AG179" s="324"/>
      <c r="AH179" s="324"/>
      <c r="AI179" s="324"/>
      <c r="AJ179" s="324"/>
      <c r="AK179" s="324"/>
      <c r="AL179" s="325" t="str">
        <f>IF($AG$8=4,$E$9,IF($AG$10=4,$E$11,IF($AG$12=4,$E$13,IF($AG$14=4,$E$15,IF($AG$16=4,$E$17,"4th Place "&amp;$A179)))))</f>
        <v>fj2footh3pm</v>
      </c>
      <c r="AM179" s="325"/>
      <c r="AN179" s="325"/>
      <c r="AO179" s="326"/>
    </row>
    <row r="180" spans="1:53" ht="13.8" thickBot="1" x14ac:dyDescent="0.3">
      <c r="A180" s="100" t="s">
        <v>102</v>
      </c>
      <c r="B180" s="327" t="str">
        <f>IF($AG$93=1,$E$93,IF($AG$95=1,$E$95,IF($AG$97=1,$E$97,IF($AG$99=1,$E$99,IF($AG$101=1,$E$101,"1st Place "&amp;$A180)))))</f>
        <v>Intense Kids power Gvl</v>
      </c>
      <c r="C180" s="328"/>
      <c r="D180" s="328"/>
      <c r="E180" s="328"/>
      <c r="F180" s="328"/>
      <c r="G180" s="328"/>
      <c r="H180" s="329" t="str">
        <f>IF($AG$93=1,$E$94,IF($AG$95=1,$E$96,IF($AG$97=1,$E$98,IF($AG$99=1,$E$100,IF($AG$101=1,$E$102,"1st Place "&amp;$A180)))))</f>
        <v>fj2inten2pm</v>
      </c>
      <c r="I180" s="329"/>
      <c r="J180" s="329"/>
      <c r="K180" s="330"/>
      <c r="L180" s="327" t="str">
        <f>IF($AG$93=2,$E$93,IF($AG$95=2,$E$95,IF($AG$97=2,$E$97,IF($AG$99=2,$E$99,IF($AG$101=2,$E$101,"2nd Place "&amp;$A180)))))</f>
        <v>SC Midlands KP Black</v>
      </c>
      <c r="M180" s="328"/>
      <c r="N180" s="328"/>
      <c r="O180" s="328"/>
      <c r="P180" s="328"/>
      <c r="Q180" s="328"/>
      <c r="R180" s="329" t="str">
        <f>IF($AG$93=2,$E$94,IF($AG$95=2,$E$96,IF($AG$97=2,$E$98,IF($AG$99=2,$E$100,IF($AG$101=2,$E$102,"2nd Place "&amp;$A180)))))</f>
        <v>fj1scmid1pm</v>
      </c>
      <c r="S180" s="329"/>
      <c r="T180" s="329"/>
      <c r="U180" s="330"/>
      <c r="V180" s="327" t="str">
        <f>IF($AG$93=3,$E$93,IF($AG$95=3,$E$95,IF($AG$97=3,$E$97,IF($AG$99=3,$E$99,IF($AG$101=3,$E$101,"3rd Place "&amp;$A180)))))</f>
        <v>Columbia SC Starlings 12</v>
      </c>
      <c r="W180" s="328"/>
      <c r="X180" s="328"/>
      <c r="Y180" s="328"/>
      <c r="Z180" s="328"/>
      <c r="AA180" s="328"/>
      <c r="AB180" s="329" t="str">
        <f>IF($AG$93=3,$E$94,IF($AG$95=3,$E$96,IF($AG$97=3,$E$98,IF($AG$99=3,$E$100,IF($AG$101=3,$E$102,"3rd Place "&amp;$A180)))))</f>
        <v>fj2starl1pm</v>
      </c>
      <c r="AC180" s="329"/>
      <c r="AD180" s="329"/>
      <c r="AE180" s="330"/>
      <c r="AF180" s="331"/>
      <c r="AG180" s="332"/>
      <c r="AH180" s="332"/>
      <c r="AI180" s="332"/>
      <c r="AJ180" s="332"/>
      <c r="AK180" s="332"/>
      <c r="AL180" s="337"/>
      <c r="AM180" s="337"/>
      <c r="AN180" s="337"/>
      <c r="AO180" s="338"/>
    </row>
    <row r="181" spans="1:53" s="3" customFormat="1" x14ac:dyDescent="0.25">
      <c r="A181" s="101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102"/>
      <c r="AH181" s="102"/>
      <c r="AI181" s="102"/>
      <c r="AJ181" s="102"/>
      <c r="AK181" s="102"/>
      <c r="AL181" s="102"/>
      <c r="AM181" s="102"/>
      <c r="AN181" s="102"/>
      <c r="AO181" s="102"/>
      <c r="AZ181"/>
      <c r="BA181"/>
    </row>
    <row r="182" spans="1:53" ht="15.6" x14ac:dyDescent="0.3">
      <c r="A182" s="339" t="s">
        <v>103</v>
      </c>
      <c r="B182" s="339"/>
      <c r="C182" s="339"/>
      <c r="D182" s="339"/>
      <c r="E182" s="339"/>
      <c r="F182" s="339"/>
      <c r="G182" s="339"/>
      <c r="H182" s="339"/>
      <c r="I182" s="339"/>
      <c r="J182" s="339"/>
      <c r="K182" s="339"/>
      <c r="L182" s="339"/>
      <c r="M182" s="339"/>
      <c r="N182" s="339"/>
      <c r="O182" s="339"/>
      <c r="P182" s="339"/>
      <c r="Q182" s="339"/>
      <c r="R182" s="339"/>
      <c r="S182" s="339"/>
      <c r="T182" s="339"/>
      <c r="U182" s="339"/>
      <c r="V182" s="339"/>
      <c r="W182" s="339"/>
      <c r="X182" s="339"/>
      <c r="Y182" s="339"/>
      <c r="Z182" s="339"/>
      <c r="AA182" s="339"/>
      <c r="AB182" s="339"/>
      <c r="AC182" s="339"/>
      <c r="AD182" s="339"/>
      <c r="AE182" s="339"/>
      <c r="AF182" s="339"/>
      <c r="AG182" s="339"/>
      <c r="AH182" s="339"/>
      <c r="AI182" s="339"/>
      <c r="AJ182" s="339"/>
      <c r="AK182" s="339"/>
      <c r="AL182" s="339"/>
      <c r="AM182" s="339"/>
      <c r="AN182" s="339"/>
      <c r="AO182" s="339"/>
      <c r="AP182" s="339"/>
      <c r="AQ182" s="339"/>
      <c r="AT182" s="103"/>
      <c r="AU182" s="103"/>
    </row>
    <row r="183" spans="1:53" ht="17.399999999999999" x14ac:dyDescent="0.3">
      <c r="A183" s="340" t="s">
        <v>104</v>
      </c>
      <c r="B183" s="340"/>
      <c r="C183" s="340"/>
      <c r="D183" s="340"/>
      <c r="E183" s="340"/>
      <c r="F183" s="340"/>
      <c r="G183" s="340"/>
      <c r="H183" s="340"/>
      <c r="I183" s="340"/>
      <c r="J183" s="340"/>
      <c r="K183" s="340"/>
      <c r="L183" s="340"/>
      <c r="M183" s="340"/>
      <c r="N183" s="340"/>
      <c r="O183" s="340"/>
      <c r="P183" s="340"/>
      <c r="Q183" s="340"/>
      <c r="R183" s="340"/>
      <c r="S183" s="340"/>
      <c r="T183" s="340"/>
      <c r="U183" s="340"/>
      <c r="V183" s="340"/>
      <c r="W183" s="340"/>
      <c r="X183" s="340"/>
      <c r="Y183" s="340"/>
      <c r="Z183" s="340"/>
      <c r="AA183" s="340"/>
      <c r="AB183" s="340"/>
      <c r="AC183" s="340"/>
      <c r="AD183" s="340"/>
      <c r="AE183" s="340"/>
      <c r="AF183" s="340"/>
      <c r="AG183" s="340"/>
      <c r="AH183" s="340"/>
      <c r="AI183" s="340"/>
      <c r="AJ183" s="340"/>
      <c r="AK183" s="340"/>
      <c r="AL183" s="340"/>
      <c r="AM183" s="340"/>
      <c r="AN183" s="340"/>
      <c r="AO183" s="340"/>
      <c r="AP183" s="340"/>
      <c r="AQ183" s="340"/>
      <c r="AR183" s="340"/>
    </row>
    <row r="184" spans="1:53" x14ac:dyDescent="0.25">
      <c r="A184" s="341"/>
      <c r="B184" s="341"/>
      <c r="C184" s="341"/>
      <c r="D184" s="341"/>
      <c r="E184" s="341"/>
      <c r="F184" s="341"/>
      <c r="G184" s="341"/>
      <c r="H184" s="341"/>
      <c r="I184" s="341"/>
      <c r="J184" s="341"/>
      <c r="K184" s="341"/>
      <c r="L184" s="341"/>
      <c r="M184" s="341"/>
      <c r="N184" s="341"/>
      <c r="O184" s="341"/>
      <c r="P184" s="341"/>
      <c r="Q184" s="341"/>
      <c r="R184" s="341"/>
      <c r="S184" s="341"/>
      <c r="T184" s="341"/>
      <c r="U184" s="341"/>
      <c r="V184" s="341"/>
      <c r="W184" s="341"/>
      <c r="X184" s="341"/>
      <c r="Y184" s="341"/>
      <c r="Z184" s="341"/>
      <c r="AA184" s="341"/>
      <c r="AB184" s="341"/>
      <c r="AC184" s="341"/>
      <c r="AD184" s="341"/>
      <c r="AE184" s="341"/>
      <c r="AF184" s="341"/>
      <c r="AG184" s="341"/>
      <c r="AH184" s="341"/>
      <c r="AI184" s="341"/>
      <c r="AJ184" s="341"/>
      <c r="AK184" s="341"/>
      <c r="AL184" s="341"/>
      <c r="AM184" s="341"/>
      <c r="AN184" s="341"/>
      <c r="AO184" s="341"/>
      <c r="AP184" s="341"/>
      <c r="AQ184" s="341"/>
      <c r="AR184" s="341"/>
    </row>
    <row r="185" spans="1:53" x14ac:dyDescent="0.25">
      <c r="A185" s="341"/>
      <c r="B185" s="341"/>
      <c r="C185" s="341"/>
      <c r="D185" s="341"/>
      <c r="E185" s="341"/>
      <c r="F185" s="341"/>
      <c r="G185" s="341"/>
      <c r="H185" s="341"/>
      <c r="I185" s="341"/>
      <c r="J185" s="341"/>
      <c r="K185" s="341"/>
      <c r="L185" s="341"/>
      <c r="M185" s="341"/>
      <c r="N185" s="341"/>
      <c r="O185" s="341"/>
      <c r="P185" s="341"/>
      <c r="Q185" s="341"/>
      <c r="R185" s="341"/>
      <c r="S185" s="341"/>
      <c r="T185" s="341"/>
      <c r="U185" s="341"/>
      <c r="V185" s="341"/>
      <c r="W185" s="341"/>
      <c r="X185" s="341"/>
      <c r="Y185" s="341"/>
      <c r="Z185" s="341"/>
      <c r="AA185" s="341"/>
      <c r="AB185" s="341"/>
      <c r="AC185" s="341"/>
      <c r="AD185" s="341"/>
      <c r="AE185" s="341"/>
      <c r="AF185" s="341"/>
      <c r="AG185" s="341"/>
      <c r="AH185" s="341"/>
      <c r="AI185" s="341"/>
      <c r="AJ185" s="341"/>
      <c r="AK185" s="341"/>
      <c r="AL185" s="341"/>
      <c r="AM185" s="341"/>
      <c r="AN185" s="341"/>
      <c r="AO185" s="341"/>
      <c r="AP185" s="341"/>
      <c r="AQ185" s="341"/>
      <c r="AR185" s="341"/>
    </row>
    <row r="186" spans="1:53" x14ac:dyDescent="0.25">
      <c r="A186" s="342" t="s">
        <v>105</v>
      </c>
      <c r="B186" s="342"/>
      <c r="C186" s="342"/>
      <c r="D186" s="342"/>
      <c r="E186" s="342"/>
      <c r="F186" s="342"/>
      <c r="G186" s="342"/>
      <c r="H186" s="342"/>
      <c r="I186" s="342"/>
      <c r="J186" s="342"/>
      <c r="K186" s="342"/>
      <c r="L186" s="342"/>
      <c r="M186" s="104"/>
    </row>
    <row r="187" spans="1:53" x14ac:dyDescent="0.25">
      <c r="C187" s="3"/>
      <c r="D187" s="3"/>
      <c r="E187" s="3"/>
      <c r="M187" s="104"/>
    </row>
    <row r="188" spans="1:53" x14ac:dyDescent="0.25">
      <c r="A188" s="309" t="s">
        <v>106</v>
      </c>
      <c r="B188" s="309"/>
      <c r="C188" s="309"/>
      <c r="D188" s="309"/>
      <c r="E188" s="309"/>
      <c r="F188" s="309"/>
      <c r="G188" s="309"/>
      <c r="H188" s="309"/>
      <c r="I188" s="309"/>
      <c r="J188" s="309"/>
      <c r="K188" s="309"/>
      <c r="L188" s="309"/>
      <c r="M188" s="309"/>
      <c r="N188" s="309"/>
      <c r="O188" s="309"/>
      <c r="P188" s="309"/>
      <c r="Q188" s="152"/>
      <c r="S188" s="309" t="s">
        <v>107</v>
      </c>
      <c r="T188" s="309"/>
      <c r="U188" s="309"/>
      <c r="V188" s="309"/>
      <c r="W188" s="309"/>
      <c r="X188" s="309"/>
      <c r="Y188" s="309"/>
      <c r="Z188" s="309"/>
      <c r="AA188" s="309"/>
      <c r="AB188" s="309"/>
      <c r="AC188" s="309"/>
      <c r="AD188" s="309"/>
      <c r="AE188" s="309"/>
      <c r="AF188" s="309"/>
      <c r="AG188" s="309"/>
    </row>
    <row r="190" spans="1:53" ht="13.8" thickBot="1" x14ac:dyDescent="0.3">
      <c r="A190" s="333" t="str">
        <f>IF(B218=1,B210,IF(B218=2,B211,IF(B218=3,B212,IF(B218=4,B213,IF(OR(B218="B",B218="b"),"BYE","invalid")))))</f>
        <v>SC Midlands KP Garnet</v>
      </c>
      <c r="B190" s="333"/>
      <c r="C190" s="333"/>
      <c r="D190" s="333"/>
      <c r="E190" s="333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T190" s="151"/>
      <c r="U190" s="151"/>
      <c r="V190" s="333" t="str">
        <f>IF(X218=1,Y210,IF(X218=2,Y211,IF(X218=3,Y212,IF(X218=4,Y213,IF(OR(X218="B",X218="b"),"BYE","invalid")))))</f>
        <v>SC Midlands KP Silver</v>
      </c>
      <c r="W190" s="333"/>
      <c r="X190" s="333"/>
      <c r="Y190" s="333"/>
      <c r="Z190" s="333"/>
      <c r="AA190" s="333"/>
      <c r="AB190" s="333"/>
      <c r="AC190" s="105"/>
      <c r="AD190" s="105"/>
      <c r="AE190" s="105"/>
      <c r="AF190" s="105"/>
    </row>
    <row r="191" spans="1:53" x14ac:dyDescent="0.25">
      <c r="A191" s="334" t="s">
        <v>108</v>
      </c>
      <c r="B191" s="334"/>
      <c r="C191" s="334"/>
      <c r="D191" s="334"/>
      <c r="E191" s="334"/>
      <c r="F191" s="107"/>
      <c r="G191" s="105"/>
      <c r="H191" s="105"/>
      <c r="I191" s="105"/>
      <c r="J191" s="105"/>
      <c r="K191" s="105"/>
      <c r="L191" s="105"/>
      <c r="M191" s="105"/>
      <c r="N191" s="105"/>
      <c r="O191" s="105"/>
      <c r="T191" s="160"/>
      <c r="U191" s="160"/>
      <c r="V191" s="335"/>
      <c r="W191" s="335"/>
      <c r="X191" s="335"/>
      <c r="Y191" s="335"/>
      <c r="Z191" s="335"/>
      <c r="AA191" s="335"/>
      <c r="AB191" s="336"/>
      <c r="AC191" s="105"/>
      <c r="AD191" s="105"/>
      <c r="AE191" s="105"/>
      <c r="AF191" s="105"/>
    </row>
    <row r="192" spans="1:53" x14ac:dyDescent="0.25">
      <c r="A192" s="105"/>
      <c r="B192" s="105"/>
      <c r="C192" s="105"/>
      <c r="D192" s="105"/>
      <c r="E192" s="105"/>
      <c r="F192" s="107"/>
      <c r="G192" s="105"/>
      <c r="H192" s="105"/>
      <c r="I192" s="105"/>
      <c r="J192" s="105"/>
      <c r="K192" s="105"/>
      <c r="L192" s="105"/>
      <c r="M192" s="105"/>
      <c r="N192" s="105"/>
      <c r="O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9"/>
      <c r="AC192" s="105"/>
      <c r="AD192" s="105"/>
      <c r="AE192" s="105"/>
      <c r="AF192" s="105"/>
    </row>
    <row r="193" spans="1:53" ht="13.8" thickBot="1" x14ac:dyDescent="0.3">
      <c r="A193" s="349" t="str">
        <f>B212&amp;" ref"</f>
        <v>Kershaw Dev 12 Black ref</v>
      </c>
      <c r="B193" s="349"/>
      <c r="C193" s="349"/>
      <c r="D193" s="349"/>
      <c r="E193" s="350"/>
      <c r="F193" s="351" t="str">
        <f>IF(H218=1,B210,IF(H218=2,B211,IF(H218=3,B212,IF(H218=4,B213,"Winner Match 1"))))</f>
        <v>Winner Match 1</v>
      </c>
      <c r="G193" s="352"/>
      <c r="H193" s="352"/>
      <c r="I193" s="352"/>
      <c r="J193" s="352"/>
      <c r="K193" s="352"/>
      <c r="L193" s="352"/>
      <c r="M193" s="352"/>
      <c r="N193" s="352"/>
      <c r="O193" s="105"/>
      <c r="Q193" s="110"/>
      <c r="R193" s="110"/>
      <c r="S193" s="110"/>
      <c r="T193" s="110"/>
      <c r="U193" s="347"/>
      <c r="V193" s="347"/>
      <c r="W193" s="347"/>
      <c r="X193" s="347"/>
      <c r="Y193" s="347"/>
      <c r="Z193" s="347"/>
      <c r="AA193" s="347"/>
      <c r="AB193" s="109"/>
      <c r="AC193" s="351" t="str">
        <f>IF(AD218=1,Y210,IF(AD218=2,Y211,IF(AD218=3,Y212,IF(AD218=4,Y213,"Winner Match 1"))))</f>
        <v>SC Midlands KP Silver</v>
      </c>
      <c r="AD193" s="352"/>
      <c r="AE193" s="352"/>
      <c r="AF193" s="352"/>
      <c r="AG193" s="352"/>
      <c r="AH193" s="352"/>
      <c r="AI193" s="352"/>
    </row>
    <row r="194" spans="1:53" x14ac:dyDescent="0.25">
      <c r="A194" s="353" t="s">
        <v>109</v>
      </c>
      <c r="B194" s="353"/>
      <c r="C194" s="353"/>
      <c r="D194" s="353"/>
      <c r="E194" s="353"/>
      <c r="F194" s="354"/>
      <c r="G194" s="355"/>
      <c r="H194" s="355"/>
      <c r="I194" s="356"/>
      <c r="J194" s="357"/>
      <c r="K194" s="358"/>
      <c r="L194" s="358"/>
      <c r="M194" s="358"/>
      <c r="N194" s="358"/>
      <c r="O194" s="105"/>
      <c r="P194" s="105"/>
      <c r="Q194" s="111"/>
      <c r="R194" s="5"/>
      <c r="S194" s="112"/>
      <c r="T194" s="112"/>
      <c r="U194" s="359"/>
      <c r="V194" s="359"/>
      <c r="W194" s="359"/>
      <c r="X194" s="359"/>
      <c r="Y194" s="359"/>
      <c r="Z194" s="359"/>
      <c r="AA194" s="359"/>
      <c r="AB194" s="109"/>
      <c r="AC194" s="354"/>
      <c r="AD194" s="355"/>
      <c r="AE194" s="355"/>
      <c r="AF194" s="356"/>
      <c r="AG194" s="357"/>
      <c r="AH194" s="358"/>
      <c r="AI194" s="358"/>
    </row>
    <row r="195" spans="1:53" ht="13.8" thickBot="1" x14ac:dyDescent="0.3">
      <c r="A195" s="333" t="str">
        <f>IF(D218=1,B210,IF(D218=2,B211,IF(D218=3,B212,IF(D218=4,B213,IF(OR(D218="B",D218="b"),"BYE","invalid")))))</f>
        <v>SC Midlands KP Black</v>
      </c>
      <c r="B195" s="333"/>
      <c r="C195" s="333"/>
      <c r="D195" s="333"/>
      <c r="E195" s="343"/>
      <c r="F195" s="107"/>
      <c r="G195" s="105"/>
      <c r="H195" s="105"/>
      <c r="I195" s="105"/>
      <c r="J195" s="107"/>
      <c r="K195" s="105"/>
      <c r="L195" s="105"/>
      <c r="M195" s="105"/>
      <c r="N195" s="105"/>
      <c r="O195" s="105"/>
      <c r="P195" s="105"/>
      <c r="Q195" s="105"/>
      <c r="U195" s="105"/>
      <c r="V195" s="344" t="str">
        <f>IF(Z218=1,Y210,IF(Z218=2,Y211,IF(Z218=3,Y212,IF(Z218=4,Y213,IF(OR(Z218="B",Z218="b"),"BYE","invalid")))))</f>
        <v>BYE</v>
      </c>
      <c r="W195" s="344"/>
      <c r="X195" s="344"/>
      <c r="Y195" s="344"/>
      <c r="Z195" s="344"/>
      <c r="AA195" s="344"/>
      <c r="AB195" s="345"/>
      <c r="AC195" s="105"/>
      <c r="AD195" s="105"/>
      <c r="AE195" s="105"/>
      <c r="AF195" s="109"/>
      <c r="AG195" s="105"/>
      <c r="AH195" s="105"/>
    </row>
    <row r="196" spans="1:53" x14ac:dyDescent="0.25">
      <c r="A196" s="334" t="s">
        <v>110</v>
      </c>
      <c r="B196" s="334"/>
      <c r="C196" s="334"/>
      <c r="D196" s="334"/>
      <c r="E196" s="334"/>
      <c r="F196" s="105"/>
      <c r="G196" s="105"/>
      <c r="H196" s="105"/>
      <c r="I196" s="105"/>
      <c r="J196" s="107"/>
      <c r="K196" s="105"/>
      <c r="L196" s="105"/>
      <c r="M196" s="105"/>
      <c r="N196" s="105"/>
      <c r="O196" s="105"/>
      <c r="P196" s="105"/>
      <c r="Q196" s="105"/>
      <c r="V196" s="346"/>
      <c r="W196" s="346"/>
      <c r="X196" s="346"/>
      <c r="Y196" s="346"/>
      <c r="Z196" s="346"/>
      <c r="AA196" s="346"/>
      <c r="AB196" s="346"/>
      <c r="AC196" s="105"/>
      <c r="AD196" s="105"/>
      <c r="AE196" s="105"/>
      <c r="AF196" s="109"/>
      <c r="AG196" s="105"/>
      <c r="AH196" s="105"/>
      <c r="AR196" s="113"/>
      <c r="AS196" s="113"/>
      <c r="AV196" s="113"/>
      <c r="AW196" s="113"/>
      <c r="AX196" s="113"/>
    </row>
    <row r="197" spans="1:53" x14ac:dyDescent="0.25">
      <c r="A197" s="105"/>
      <c r="B197" s="105"/>
      <c r="C197" s="105"/>
      <c r="D197" s="105"/>
      <c r="E197" s="105"/>
      <c r="F197" s="347" t="s">
        <v>111</v>
      </c>
      <c r="G197" s="347"/>
      <c r="H197" s="347"/>
      <c r="I197" s="348"/>
      <c r="J197" s="107"/>
      <c r="K197" s="105"/>
      <c r="L197" s="105"/>
      <c r="M197" s="105"/>
      <c r="N197" s="105"/>
      <c r="O197" s="105"/>
      <c r="P197" s="105"/>
      <c r="Q197" s="105"/>
      <c r="S197" s="105"/>
      <c r="T197" s="105"/>
      <c r="U197" s="105"/>
      <c r="V197" s="105"/>
      <c r="W197" s="105"/>
      <c r="X197" s="110"/>
      <c r="Y197" s="110"/>
      <c r="Z197" s="110"/>
      <c r="AB197" s="110"/>
      <c r="AC197" s="347" t="s">
        <v>111</v>
      </c>
      <c r="AD197" s="347"/>
      <c r="AE197" s="347"/>
      <c r="AF197" s="348"/>
      <c r="AG197" s="105"/>
      <c r="AH197" s="105"/>
    </row>
    <row r="198" spans="1:53" ht="13.8" thickBot="1" x14ac:dyDescent="0.3">
      <c r="A198" s="105"/>
      <c r="B198" s="105"/>
      <c r="C198" s="105"/>
      <c r="D198" s="105"/>
      <c r="E198" s="105"/>
      <c r="F198" s="105"/>
      <c r="G198" s="105"/>
      <c r="H198" s="105"/>
      <c r="I198" s="105"/>
      <c r="J198" s="364" t="str">
        <f>IF(K223=1,B210,IF(K223=2,B211,IF(K223=3,B212,IF(K223=4,B213,"Division Winner"))))</f>
        <v>Division Winner</v>
      </c>
      <c r="K198" s="365"/>
      <c r="L198" s="365"/>
      <c r="M198" s="365"/>
      <c r="N198" s="365"/>
      <c r="O198" s="365"/>
      <c r="P198" s="365"/>
      <c r="Q198" s="365"/>
      <c r="R198" s="151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14"/>
      <c r="AC198" s="114"/>
      <c r="AD198" s="114"/>
      <c r="AE198" s="114"/>
      <c r="AF198" s="115"/>
      <c r="AG198" s="365" t="str">
        <f>IF(AG223=1,Y210,IF(AG223=2,Y211,IF(AG223=3,Y212,IF(AG223=4,Y213,"Division Winner"))))</f>
        <v>Division Winner</v>
      </c>
      <c r="AH198" s="365"/>
      <c r="AI198" s="365"/>
      <c r="AJ198" s="365"/>
      <c r="AK198" s="365"/>
      <c r="AL198" s="114"/>
    </row>
    <row r="199" spans="1:53" ht="13.8" thickBot="1" x14ac:dyDescent="0.3">
      <c r="A199" s="333" t="str">
        <f>IF(E218=1,B210,IF(E218=2,B211,IF(E218=3,B212,IF(E218=4,B213,IF(OR(E218="B",E218="b"),"BYE","invalid")))))</f>
        <v>Intense Kids power Gvl</v>
      </c>
      <c r="B199" s="333"/>
      <c r="C199" s="333"/>
      <c r="D199" s="333"/>
      <c r="E199" s="333"/>
      <c r="F199" s="353" t="s">
        <v>112</v>
      </c>
      <c r="G199" s="353"/>
      <c r="H199" s="353"/>
      <c r="I199" s="353"/>
      <c r="J199" s="360" t="s">
        <v>113</v>
      </c>
      <c r="K199" s="347"/>
      <c r="L199" s="347"/>
      <c r="M199" s="347"/>
      <c r="N199" s="347"/>
      <c r="O199" s="347"/>
      <c r="P199" s="347"/>
      <c r="Q199" s="347"/>
      <c r="S199" s="114"/>
      <c r="T199" s="114"/>
      <c r="U199" s="114"/>
      <c r="V199" s="333" t="str">
        <f>IF(AA218=1,Y210,IF(AA218=2,Y211,IF(AA218=3,Y212,IF(AA218=4,Y213,IF(OR(AA218="B",AA218="b"),"BYE","invalid")))))</f>
        <v>Columbia SC Starlings 12</v>
      </c>
      <c r="W199" s="333"/>
      <c r="X199" s="333"/>
      <c r="Y199" s="333"/>
      <c r="Z199" s="333"/>
      <c r="AA199" s="333"/>
      <c r="AB199" s="333"/>
      <c r="AC199" s="353" t="s">
        <v>114</v>
      </c>
      <c r="AD199" s="353"/>
      <c r="AE199" s="353"/>
      <c r="AF199" s="366"/>
      <c r="AG199" s="367" t="s">
        <v>115</v>
      </c>
      <c r="AH199" s="368"/>
      <c r="AI199" s="368"/>
      <c r="AJ199" s="368"/>
      <c r="AK199" s="368"/>
    </row>
    <row r="200" spans="1:53" x14ac:dyDescent="0.25">
      <c r="A200" s="334" t="s">
        <v>116</v>
      </c>
      <c r="B200" s="334"/>
      <c r="C200" s="334"/>
      <c r="D200" s="334"/>
      <c r="E200" s="334"/>
      <c r="F200" s="107"/>
      <c r="G200" s="105"/>
      <c r="H200" s="105"/>
      <c r="I200" s="105"/>
      <c r="J200" s="360"/>
      <c r="K200" s="347"/>
      <c r="L200" s="347"/>
      <c r="M200" s="347"/>
      <c r="N200" s="347"/>
      <c r="O200" s="347"/>
      <c r="P200" s="347"/>
      <c r="Q200" s="347"/>
      <c r="R200" s="105"/>
      <c r="S200" s="113"/>
      <c r="T200" s="113"/>
      <c r="U200" s="113"/>
      <c r="V200" s="349" t="s">
        <v>117</v>
      </c>
      <c r="W200" s="349"/>
      <c r="X200" s="349"/>
      <c r="Y200" s="349"/>
      <c r="Z200" s="349"/>
      <c r="AA200" s="349"/>
      <c r="AB200" s="350"/>
      <c r="AC200" s="105"/>
      <c r="AD200" s="105"/>
      <c r="AE200" s="105"/>
      <c r="AF200" s="109"/>
      <c r="AG200" s="105"/>
      <c r="AH200" s="105"/>
    </row>
    <row r="201" spans="1:53" x14ac:dyDescent="0.25">
      <c r="A201" s="105"/>
      <c r="B201" s="105"/>
      <c r="C201" s="105"/>
      <c r="D201" s="105"/>
      <c r="E201" s="105"/>
      <c r="F201" s="107"/>
      <c r="G201" s="105"/>
      <c r="H201" s="105"/>
      <c r="I201" s="105"/>
      <c r="J201" s="107"/>
      <c r="K201" s="105"/>
      <c r="L201" s="105"/>
      <c r="M201" s="105"/>
      <c r="N201" s="105"/>
      <c r="O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9"/>
      <c r="AC201" s="107"/>
      <c r="AD201" s="105"/>
      <c r="AE201" s="105"/>
      <c r="AF201" s="109"/>
      <c r="AG201" s="105"/>
      <c r="AH201" s="105"/>
      <c r="AZ201" s="74"/>
      <c r="BA201" s="74"/>
    </row>
    <row r="202" spans="1:53" ht="13.8" thickBot="1" x14ac:dyDescent="0.3">
      <c r="A202" s="347" t="s">
        <v>118</v>
      </c>
      <c r="B202" s="347"/>
      <c r="C202" s="347"/>
      <c r="D202" s="347"/>
      <c r="E202" s="111"/>
      <c r="F202" s="361"/>
      <c r="G202" s="362"/>
      <c r="H202" s="362"/>
      <c r="I202" s="363"/>
      <c r="J202" s="357"/>
      <c r="K202" s="358"/>
      <c r="L202" s="358"/>
      <c r="M202" s="358"/>
      <c r="N202" s="358"/>
      <c r="O202" s="105"/>
      <c r="R202" s="110"/>
      <c r="S202" s="110"/>
      <c r="T202" s="110"/>
      <c r="U202" s="349" t="str">
        <f>Y210&amp;" ref"</f>
        <v>SC Midlands KP Silver ref</v>
      </c>
      <c r="V202" s="349"/>
      <c r="W202" s="349"/>
      <c r="X202" s="349"/>
      <c r="Y202" s="349"/>
      <c r="Z202" s="349"/>
      <c r="AA202" s="349"/>
      <c r="AB202" s="350"/>
      <c r="AC202" s="361"/>
      <c r="AD202" s="362"/>
      <c r="AE202" s="362"/>
      <c r="AF202" s="363"/>
      <c r="AG202" s="357"/>
      <c r="AH202" s="358"/>
      <c r="AI202" s="358"/>
      <c r="AZ202" s="74"/>
      <c r="BA202" s="74"/>
    </row>
    <row r="203" spans="1:53" x14ac:dyDescent="0.25">
      <c r="A203" s="353" t="s">
        <v>109</v>
      </c>
      <c r="B203" s="353"/>
      <c r="C203" s="353"/>
      <c r="D203" s="353"/>
      <c r="E203" s="366"/>
      <c r="F203" s="351" t="str">
        <f>IF(J218=1,B210,IF(J218=2,B211,IF(J218=3,B212,IF(J218=4,B213,"Winner Match 2"))))</f>
        <v>Winner Match 2</v>
      </c>
      <c r="G203" s="352"/>
      <c r="H203" s="352"/>
      <c r="I203" s="352"/>
      <c r="J203" s="352"/>
      <c r="K203" s="352"/>
      <c r="L203" s="352"/>
      <c r="M203" s="352"/>
      <c r="N203" s="352"/>
      <c r="O203" s="105"/>
      <c r="Q203" s="111"/>
      <c r="R203" s="111"/>
      <c r="T203" s="112"/>
      <c r="U203" s="353" t="s">
        <v>119</v>
      </c>
      <c r="V203" s="353"/>
      <c r="W203" s="353"/>
      <c r="X203" s="353"/>
      <c r="Y203" s="353"/>
      <c r="Z203" s="353"/>
      <c r="AA203" s="353"/>
      <c r="AB203" s="109"/>
      <c r="AC203" s="351" t="str">
        <f>IF(AF218=1,Y210,IF(AF218=2,Y211,IF(AF218=3,Y212,IF(AF218=4,Y213,"Winner Match 2"))))</f>
        <v>Winner Match 2</v>
      </c>
      <c r="AD203" s="352"/>
      <c r="AE203" s="352"/>
      <c r="AF203" s="352"/>
      <c r="AG203" s="352"/>
      <c r="AH203" s="352"/>
      <c r="AI203" s="352"/>
      <c r="AZ203" s="74"/>
      <c r="BA203" s="74"/>
    </row>
    <row r="204" spans="1:53" ht="13.8" thickBot="1" x14ac:dyDescent="0.3">
      <c r="A204" s="333" t="str">
        <f>IF(G218=1,B210,IF(G218=2,B211,IF(G218=3,B212,IF(G218=4,B213,IF(OR(G218="B",G218="b"),"BYE","invalid")))))</f>
        <v>Kershaw Dev 12 Black</v>
      </c>
      <c r="B204" s="333"/>
      <c r="C204" s="333"/>
      <c r="D204" s="333"/>
      <c r="E204" s="343"/>
      <c r="F204" s="107"/>
      <c r="G204" s="105"/>
      <c r="H204" s="105"/>
      <c r="I204" s="105"/>
      <c r="J204" s="105"/>
      <c r="K204" s="105"/>
      <c r="L204" s="105"/>
      <c r="M204" s="105"/>
      <c r="N204" s="105"/>
      <c r="O204" s="105"/>
      <c r="Q204" s="105"/>
      <c r="R204" s="105"/>
      <c r="S204" s="105"/>
      <c r="T204" s="114"/>
      <c r="U204" s="114"/>
      <c r="V204" s="333" t="str">
        <f>IF(AC218=1,Y210,IF(AC218=2,Y211,IF(AC218=3,Y212,IF(AC218=4,Y213,IF(OR(AC218="B",AC218="b"),"BYE","invalid")))))</f>
        <v>Foothills Skylar</v>
      </c>
      <c r="W204" s="333"/>
      <c r="X204" s="333"/>
      <c r="Y204" s="333"/>
      <c r="Z204" s="333"/>
      <c r="AA204" s="333"/>
      <c r="AB204" s="343"/>
      <c r="AC204" s="105"/>
      <c r="AD204" s="105"/>
      <c r="AE204" s="105"/>
      <c r="AF204" s="105"/>
      <c r="AZ204" s="74"/>
      <c r="BA204" s="74"/>
    </row>
    <row r="205" spans="1:53" x14ac:dyDescent="0.25">
      <c r="A205" s="334" t="s">
        <v>120</v>
      </c>
      <c r="B205" s="334"/>
      <c r="C205" s="334"/>
      <c r="D205" s="334"/>
      <c r="E205" s="334"/>
      <c r="T205" s="113"/>
      <c r="U205" s="113"/>
      <c r="V205" s="349" t="s">
        <v>121</v>
      </c>
      <c r="W205" s="349"/>
      <c r="X205" s="349"/>
      <c r="Y205" s="349"/>
      <c r="Z205" s="349"/>
      <c r="AA205" s="349"/>
      <c r="AB205" s="349"/>
      <c r="AZ205" s="74"/>
      <c r="BA205" s="74"/>
    </row>
    <row r="206" spans="1:53" x14ac:dyDescent="0.25">
      <c r="AT206" s="74"/>
      <c r="AU206" s="74"/>
      <c r="AZ206" s="74"/>
      <c r="BA206" s="74"/>
    </row>
    <row r="207" spans="1:53" x14ac:dyDescent="0.25">
      <c r="AT207" s="74"/>
      <c r="AU207" s="74"/>
      <c r="AZ207" s="74"/>
      <c r="BA207" s="74"/>
    </row>
    <row r="208" spans="1:53" ht="16.2" thickBot="1" x14ac:dyDescent="0.35">
      <c r="A208" s="369" t="s">
        <v>122</v>
      </c>
      <c r="B208" s="369"/>
      <c r="C208" s="369"/>
      <c r="D208" s="369"/>
      <c r="E208" s="369"/>
      <c r="F208" s="369"/>
      <c r="G208" s="369"/>
      <c r="H208" s="369"/>
      <c r="I208" s="369"/>
      <c r="J208" s="369"/>
      <c r="K208" s="157"/>
      <c r="R208" s="161"/>
      <c r="S208" s="161"/>
      <c r="T208" s="161"/>
      <c r="V208" s="369" t="s">
        <v>123</v>
      </c>
      <c r="W208" s="369"/>
      <c r="X208" s="369"/>
      <c r="Y208" s="369"/>
      <c r="Z208" s="369"/>
      <c r="AA208" s="369"/>
      <c r="AB208" s="369"/>
      <c r="AC208" s="369"/>
      <c r="AD208" s="369"/>
      <c r="AE208" s="369"/>
      <c r="AF208" s="369"/>
      <c r="AG208" s="369"/>
      <c r="AT208" s="74"/>
      <c r="AU208" s="74"/>
      <c r="AZ208" s="74"/>
      <c r="BA208" s="74"/>
    </row>
    <row r="209" spans="1:53" ht="13.8" thickBot="1" x14ac:dyDescent="0.3">
      <c r="A209" s="118" t="s">
        <v>124</v>
      </c>
      <c r="B209" s="370" t="s">
        <v>125</v>
      </c>
      <c r="C209" s="371"/>
      <c r="D209" s="371"/>
      <c r="E209" s="371"/>
      <c r="F209" s="371"/>
      <c r="G209" s="371"/>
      <c r="H209" s="371"/>
      <c r="I209" s="371"/>
      <c r="J209" s="372"/>
      <c r="K209" s="373" t="s">
        <v>126</v>
      </c>
      <c r="L209" s="374"/>
      <c r="M209" s="374"/>
      <c r="N209" s="374"/>
      <c r="O209" s="374"/>
      <c r="P209" s="374"/>
      <c r="Q209" s="375"/>
      <c r="R209" s="105"/>
      <c r="V209" s="376" t="s">
        <v>124</v>
      </c>
      <c r="W209" s="377"/>
      <c r="X209" s="378"/>
      <c r="Y209" s="370" t="s">
        <v>125</v>
      </c>
      <c r="Z209" s="371"/>
      <c r="AA209" s="371"/>
      <c r="AB209" s="371"/>
      <c r="AC209" s="371"/>
      <c r="AD209" s="371"/>
      <c r="AE209" s="371"/>
      <c r="AF209" s="371"/>
      <c r="AG209" s="372"/>
      <c r="AH209" s="373" t="s">
        <v>126</v>
      </c>
      <c r="AI209" s="374"/>
      <c r="AJ209" s="374"/>
      <c r="AK209" s="374"/>
      <c r="AL209" s="374"/>
      <c r="AM209" s="374"/>
      <c r="AN209" s="375"/>
      <c r="AT209" s="74"/>
      <c r="AU209" s="74"/>
      <c r="AZ209" s="74"/>
      <c r="BA209" s="74"/>
    </row>
    <row r="210" spans="1:53" ht="13.8" thickBot="1" x14ac:dyDescent="0.3">
      <c r="A210" s="118">
        <v>1</v>
      </c>
      <c r="B210" s="379" t="str">
        <f>B179</f>
        <v>SC Midlands KP Garnet</v>
      </c>
      <c r="C210" s="380"/>
      <c r="D210" s="380"/>
      <c r="E210" s="380"/>
      <c r="F210" s="380"/>
      <c r="G210" s="380"/>
      <c r="H210" s="380"/>
      <c r="I210" s="380"/>
      <c r="J210" s="381"/>
      <c r="K210" s="382" t="str">
        <f>H179</f>
        <v>fj1scmid2pm</v>
      </c>
      <c r="L210" s="383"/>
      <c r="M210" s="383"/>
      <c r="N210" s="383"/>
      <c r="O210" s="383"/>
      <c r="P210" s="383"/>
      <c r="Q210" s="384"/>
      <c r="R210" s="105"/>
      <c r="V210" s="376">
        <v>1</v>
      </c>
      <c r="W210" s="377"/>
      <c r="X210" s="378"/>
      <c r="Y210" s="379" t="str">
        <f>V179</f>
        <v>SC Midlands KP Silver</v>
      </c>
      <c r="Z210" s="380"/>
      <c r="AA210" s="380"/>
      <c r="AB210" s="380"/>
      <c r="AC210" s="380"/>
      <c r="AD210" s="380"/>
      <c r="AE210" s="380"/>
      <c r="AF210" s="380"/>
      <c r="AG210" s="381"/>
      <c r="AH210" s="382" t="str">
        <f>AB179</f>
        <v>fj1scmid4pm</v>
      </c>
      <c r="AI210" s="383"/>
      <c r="AJ210" s="383"/>
      <c r="AK210" s="383"/>
      <c r="AL210" s="383"/>
      <c r="AM210" s="383"/>
      <c r="AN210" s="384"/>
      <c r="AT210" s="74"/>
      <c r="AU210" s="74"/>
      <c r="AZ210" s="74"/>
      <c r="BA210" s="74"/>
    </row>
    <row r="211" spans="1:53" ht="13.8" thickBot="1" x14ac:dyDescent="0.3">
      <c r="A211" s="118">
        <v>2</v>
      </c>
      <c r="B211" s="379" t="str">
        <f>B180</f>
        <v>Intense Kids power Gvl</v>
      </c>
      <c r="C211" s="380"/>
      <c r="D211" s="380"/>
      <c r="E211" s="380"/>
      <c r="F211" s="380"/>
      <c r="G211" s="380"/>
      <c r="H211" s="380"/>
      <c r="I211" s="380"/>
      <c r="J211" s="381"/>
      <c r="K211" s="382" t="str">
        <f>H180</f>
        <v>fj2inten2pm</v>
      </c>
      <c r="L211" s="383"/>
      <c r="M211" s="383"/>
      <c r="N211" s="383"/>
      <c r="O211" s="383"/>
      <c r="P211" s="383"/>
      <c r="Q211" s="384"/>
      <c r="R211" s="105"/>
      <c r="V211" s="376">
        <v>2</v>
      </c>
      <c r="W211" s="377"/>
      <c r="X211" s="378"/>
      <c r="Y211" s="379" t="str">
        <f>V180</f>
        <v>Columbia SC Starlings 12</v>
      </c>
      <c r="Z211" s="380"/>
      <c r="AA211" s="380"/>
      <c r="AB211" s="380"/>
      <c r="AC211" s="380"/>
      <c r="AD211" s="380"/>
      <c r="AE211" s="380"/>
      <c r="AF211" s="380"/>
      <c r="AG211" s="381"/>
      <c r="AH211" s="382" t="str">
        <f>AB180</f>
        <v>fj2starl1pm</v>
      </c>
      <c r="AI211" s="383"/>
      <c r="AJ211" s="383"/>
      <c r="AK211" s="383"/>
      <c r="AL211" s="383"/>
      <c r="AM211" s="383"/>
      <c r="AN211" s="384"/>
      <c r="AT211" s="74"/>
      <c r="AU211" s="74"/>
      <c r="AZ211" s="74"/>
      <c r="BA211" s="74"/>
    </row>
    <row r="212" spans="1:53" ht="13.8" thickBot="1" x14ac:dyDescent="0.3">
      <c r="A212" s="118">
        <v>3</v>
      </c>
      <c r="B212" s="379" t="str">
        <f>L179</f>
        <v>Kershaw Dev 12 Black</v>
      </c>
      <c r="C212" s="380"/>
      <c r="D212" s="380"/>
      <c r="E212" s="380"/>
      <c r="F212" s="380"/>
      <c r="G212" s="380"/>
      <c r="H212" s="380"/>
      <c r="I212" s="380"/>
      <c r="J212" s="381"/>
      <c r="K212" s="382" t="str">
        <f>R179</f>
        <v>fj2kersh4pm</v>
      </c>
      <c r="L212" s="383"/>
      <c r="M212" s="383"/>
      <c r="N212" s="383"/>
      <c r="O212" s="383"/>
      <c r="P212" s="383"/>
      <c r="Q212" s="384"/>
      <c r="R212" s="105"/>
      <c r="V212" s="376">
        <v>3</v>
      </c>
      <c r="W212" s="377"/>
      <c r="X212" s="378"/>
      <c r="Y212" s="379" t="str">
        <f>AF179</f>
        <v>Foothills Skylar</v>
      </c>
      <c r="Z212" s="380"/>
      <c r="AA212" s="380"/>
      <c r="AB212" s="380"/>
      <c r="AC212" s="380"/>
      <c r="AD212" s="380"/>
      <c r="AE212" s="380"/>
      <c r="AF212" s="380"/>
      <c r="AG212" s="381"/>
      <c r="AH212" s="382" t="str">
        <f>AL179</f>
        <v>fj2footh3pm</v>
      </c>
      <c r="AI212" s="383"/>
      <c r="AJ212" s="383"/>
      <c r="AK212" s="383"/>
      <c r="AL212" s="383"/>
      <c r="AM212" s="383"/>
      <c r="AN212" s="384"/>
      <c r="AT212" s="74"/>
      <c r="AU212" s="74"/>
      <c r="AZ212" s="74"/>
      <c r="BA212" s="74"/>
    </row>
    <row r="213" spans="1:53" ht="13.8" thickBot="1" x14ac:dyDescent="0.3">
      <c r="A213" s="118">
        <v>4</v>
      </c>
      <c r="B213" s="379" t="str">
        <f>L180</f>
        <v>SC Midlands KP Black</v>
      </c>
      <c r="C213" s="380"/>
      <c r="D213" s="380"/>
      <c r="E213" s="380"/>
      <c r="F213" s="380"/>
      <c r="G213" s="380"/>
      <c r="H213" s="380"/>
      <c r="I213" s="380"/>
      <c r="J213" s="381"/>
      <c r="K213" s="382" t="str">
        <f>R180</f>
        <v>fj1scmid1pm</v>
      </c>
      <c r="L213" s="383"/>
      <c r="M213" s="383"/>
      <c r="N213" s="383"/>
      <c r="O213" s="383"/>
      <c r="P213" s="383"/>
      <c r="Q213" s="384"/>
      <c r="R213" s="105"/>
      <c r="V213" s="376">
        <v>4</v>
      </c>
      <c r="W213" s="377"/>
      <c r="X213" s="378"/>
      <c r="Y213" s="379" t="s">
        <v>127</v>
      </c>
      <c r="Z213" s="380"/>
      <c r="AA213" s="380"/>
      <c r="AB213" s="380"/>
      <c r="AC213" s="380"/>
      <c r="AD213" s="380"/>
      <c r="AE213" s="380"/>
      <c r="AF213" s="380"/>
      <c r="AG213" s="381"/>
      <c r="AH213" s="382"/>
      <c r="AI213" s="383"/>
      <c r="AJ213" s="383"/>
      <c r="AK213" s="383"/>
      <c r="AL213" s="383"/>
      <c r="AM213" s="383"/>
      <c r="AN213" s="384"/>
      <c r="AT213" s="74"/>
      <c r="AU213" s="74"/>
      <c r="AZ213" s="74"/>
      <c r="BA213" s="74"/>
    </row>
    <row r="214" spans="1:53" ht="13.8" thickBot="1" x14ac:dyDescent="0.3">
      <c r="AT214" s="74"/>
      <c r="AU214" s="74"/>
      <c r="AZ214" s="74"/>
      <c r="BA214" s="74"/>
    </row>
    <row r="215" spans="1:53" x14ac:dyDescent="0.25">
      <c r="B215" s="385" t="s">
        <v>128</v>
      </c>
      <c r="C215" s="386"/>
      <c r="D215" s="387"/>
      <c r="E215" s="388" t="s">
        <v>128</v>
      </c>
      <c r="F215" s="386"/>
      <c r="G215" s="387"/>
      <c r="H215" s="388" t="s">
        <v>12</v>
      </c>
      <c r="I215" s="386"/>
      <c r="J215" s="389"/>
      <c r="K215" s="155"/>
      <c r="L215" s="390"/>
      <c r="M215" s="390"/>
      <c r="N215" s="390"/>
      <c r="S215" s="120"/>
      <c r="T215" s="120"/>
      <c r="U215" s="120"/>
      <c r="V215" s="120"/>
      <c r="X215" s="385" t="s">
        <v>128</v>
      </c>
      <c r="Y215" s="386"/>
      <c r="Z215" s="387"/>
      <c r="AA215" s="388" t="s">
        <v>128</v>
      </c>
      <c r="AB215" s="386"/>
      <c r="AC215" s="387"/>
      <c r="AD215" s="388" t="s">
        <v>12</v>
      </c>
      <c r="AE215" s="386"/>
      <c r="AF215" s="389"/>
      <c r="AG215" s="390"/>
      <c r="AH215" s="390"/>
      <c r="AI215" s="120"/>
      <c r="AJ215" s="120"/>
      <c r="AK215" s="120"/>
      <c r="AZ215" s="74"/>
      <c r="BA215" s="74"/>
    </row>
    <row r="216" spans="1:53" x14ac:dyDescent="0.25">
      <c r="A216" s="60" t="s">
        <v>129</v>
      </c>
      <c r="B216" s="391">
        <v>3</v>
      </c>
      <c r="C216" s="392"/>
      <c r="D216" s="393"/>
      <c r="E216" s="394" t="s">
        <v>130</v>
      </c>
      <c r="F216" s="392"/>
      <c r="G216" s="393"/>
      <c r="H216" s="394" t="s">
        <v>131</v>
      </c>
      <c r="I216" s="392"/>
      <c r="J216" s="395"/>
      <c r="K216" s="121"/>
      <c r="S216" s="120"/>
      <c r="T216" s="120"/>
      <c r="U216" s="396" t="s">
        <v>129</v>
      </c>
      <c r="V216" s="396"/>
      <c r="W216" s="397"/>
      <c r="X216" s="391"/>
      <c r="Y216" s="392"/>
      <c r="Z216" s="393"/>
      <c r="AA216" s="394">
        <v>1</v>
      </c>
      <c r="AB216" s="392"/>
      <c r="AC216" s="393"/>
      <c r="AD216" s="394" t="s">
        <v>131</v>
      </c>
      <c r="AE216" s="392"/>
      <c r="AF216" s="395"/>
      <c r="AI216" s="120"/>
      <c r="AJ216" s="120"/>
      <c r="AK216" s="120"/>
      <c r="AZ216" s="74"/>
      <c r="BA216" s="74"/>
    </row>
    <row r="217" spans="1:53" ht="13.8" thickBot="1" x14ac:dyDescent="0.3">
      <c r="A217" s="11"/>
      <c r="B217" s="404" t="s">
        <v>43</v>
      </c>
      <c r="C217" s="302"/>
      <c r="D217" s="303"/>
      <c r="E217" s="301" t="s">
        <v>132</v>
      </c>
      <c r="F217" s="302"/>
      <c r="G217" s="303"/>
      <c r="H217" s="301" t="s">
        <v>133</v>
      </c>
      <c r="I217" s="302"/>
      <c r="J217" s="398"/>
      <c r="K217" s="122"/>
      <c r="S217" s="120"/>
      <c r="T217" s="120"/>
      <c r="U217" s="402"/>
      <c r="V217" s="402"/>
      <c r="W217" s="403"/>
      <c r="X217" s="404" t="s">
        <v>43</v>
      </c>
      <c r="Y217" s="302"/>
      <c r="Z217" s="303"/>
      <c r="AA217" s="301" t="s">
        <v>132</v>
      </c>
      <c r="AB217" s="302"/>
      <c r="AC217" s="303"/>
      <c r="AD217" s="301" t="s">
        <v>133</v>
      </c>
      <c r="AE217" s="302"/>
      <c r="AF217" s="398"/>
      <c r="AI217" s="120"/>
      <c r="AJ217" s="120"/>
      <c r="AK217" s="120"/>
      <c r="AZ217" s="74"/>
      <c r="BA217" s="74"/>
    </row>
    <row r="218" spans="1:53" ht="13.8" thickBot="1" x14ac:dyDescent="0.3">
      <c r="A218" s="11"/>
      <c r="B218" s="123">
        <v>1</v>
      </c>
      <c r="C218" s="124" t="s">
        <v>50</v>
      </c>
      <c r="D218" s="125">
        <v>4</v>
      </c>
      <c r="E218" s="126">
        <v>2</v>
      </c>
      <c r="F218" s="124" t="s">
        <v>50</v>
      </c>
      <c r="G218" s="125">
        <v>3</v>
      </c>
      <c r="H218" s="127" t="str">
        <f>IF(OR(AND(OR(B222&gt;0,D222&gt;0),B222&gt;D222),OR(D218="b",D218="B")),B218,IF(OR(AND(OR(B222&gt;0,D222&gt;0),D222&gt;B222),OR(B218="b",B218="B")),D218,"W1"))</f>
        <v>W1</v>
      </c>
      <c r="I218" s="128" t="s">
        <v>50</v>
      </c>
      <c r="J218" s="129" t="str">
        <f>IF(OR(AND(OR(E222&gt;0,G222&gt;0),E222&gt;G222),OR(G218="b",G218="B")),E218,IF(OR(AND(OR(E222&gt;0,G222&gt;0),G222&gt;E222),OR(E218="b",E218="B")),G218,"W2"))</f>
        <v>W2</v>
      </c>
      <c r="K218" s="399" t="s">
        <v>134</v>
      </c>
      <c r="L218" s="400"/>
      <c r="M218" s="400"/>
      <c r="N218" s="401"/>
      <c r="S218" s="120"/>
      <c r="T218" s="120"/>
      <c r="U218" s="402"/>
      <c r="V218" s="402"/>
      <c r="W218" s="403"/>
      <c r="X218" s="123">
        <v>1</v>
      </c>
      <c r="Y218" s="124" t="s">
        <v>50</v>
      </c>
      <c r="Z218" s="125" t="s">
        <v>91</v>
      </c>
      <c r="AA218" s="126">
        <v>2</v>
      </c>
      <c r="AB218" s="124" t="s">
        <v>50</v>
      </c>
      <c r="AC218" s="125">
        <v>3</v>
      </c>
      <c r="AD218" s="127">
        <f>IF(OR(AND(OR(X222&gt;0,Z222&gt;0),X222&gt;Z222),OR(Z218="b",Z218="B")),X218,IF(OR(AND(OR(X222&gt;0,Z222&gt;0),Z222&gt;X222),OR(X218="b",X218="B")),Z218,"W1"))</f>
        <v>1</v>
      </c>
      <c r="AE218" s="128" t="s">
        <v>50</v>
      </c>
      <c r="AF218" s="129" t="str">
        <f>IF(OR(AND(OR(AA222&gt;0,AC222&gt;0),AA222&gt;AC222),OR(AC222="b",AC222="B")),AA218,IF(OR(AND(OR(AA222&gt;0,AC222&gt;0),AC222&gt;AA222),OR(AA222="b",AA222="B")),AC218,"W2"))</f>
        <v>W2</v>
      </c>
      <c r="AG218" s="399" t="s">
        <v>134</v>
      </c>
      <c r="AH218" s="401"/>
      <c r="AI218" s="120"/>
      <c r="AJ218" s="120"/>
      <c r="AK218" s="120"/>
      <c r="AZ218" s="74"/>
      <c r="BA218" s="74"/>
    </row>
    <row r="219" spans="1:53" ht="13.5" hidden="1" customHeight="1" x14ac:dyDescent="0.25">
      <c r="A219" s="11"/>
      <c r="B219" s="130">
        <f>IF(B223&gt;D223,1,0)</f>
        <v>0</v>
      </c>
      <c r="C219" s="131"/>
      <c r="D219" s="132">
        <f>IF(D223&gt;B223,1,0)</f>
        <v>0</v>
      </c>
      <c r="E219" s="130">
        <f>IF(E223&gt;G223,1,0)</f>
        <v>0</v>
      </c>
      <c r="F219" s="131"/>
      <c r="G219" s="132">
        <f>IF(G223&gt;E223,1,0)</f>
        <v>0</v>
      </c>
      <c r="H219" s="130">
        <f>IF(H223&gt;J223,1,0)</f>
        <v>0</v>
      </c>
      <c r="I219" s="131"/>
      <c r="J219" s="132">
        <f>IF(J223&gt;H223,1,0)</f>
        <v>0</v>
      </c>
      <c r="K219" s="133"/>
      <c r="L219" s="134"/>
      <c r="M219" s="134"/>
      <c r="N219" s="135"/>
      <c r="S219" s="120"/>
      <c r="T219" s="120"/>
      <c r="U219" s="402"/>
      <c r="V219" s="402"/>
      <c r="W219" s="403"/>
      <c r="X219" s="130">
        <f>IF(X223&gt;Z223,1,0)</f>
        <v>0</v>
      </c>
      <c r="Y219" s="131"/>
      <c r="Z219" s="132">
        <f>IF(Z223&gt;X223,1,0)</f>
        <v>0</v>
      </c>
      <c r="AA219" s="130">
        <f>IF(AA223&gt;AC223,1,0)</f>
        <v>0</v>
      </c>
      <c r="AB219" s="131"/>
      <c r="AC219" s="132">
        <f>IF(AC223&gt;AA223,1,0)</f>
        <v>0</v>
      </c>
      <c r="AD219" s="130">
        <f>IF(AD223&gt;AF223,1,0)</f>
        <v>0</v>
      </c>
      <c r="AE219" s="131"/>
      <c r="AF219" s="132">
        <f>IF(AF223&gt;AD223,1,0)</f>
        <v>0</v>
      </c>
      <c r="AG219" s="153"/>
      <c r="AH219" s="154"/>
      <c r="AI219" s="120"/>
      <c r="AJ219" s="120"/>
      <c r="AK219" s="120"/>
      <c r="AZ219" s="74"/>
      <c r="BA219" s="74"/>
    </row>
    <row r="220" spans="1:53" ht="13.5" hidden="1" customHeight="1" x14ac:dyDescent="0.25">
      <c r="A220" s="11"/>
      <c r="B220" s="130">
        <f>IF(B224&gt;D224,1,0)</f>
        <v>0</v>
      </c>
      <c r="C220" s="131"/>
      <c r="D220" s="132">
        <f>IF(D224&gt;B224,1,0)</f>
        <v>0</v>
      </c>
      <c r="E220" s="130">
        <f>IF(E224&gt;G224,1,0)</f>
        <v>0</v>
      </c>
      <c r="F220" s="131"/>
      <c r="G220" s="132">
        <f>IF(G224&gt;E224,1,0)</f>
        <v>0</v>
      </c>
      <c r="H220" s="130">
        <f>IF(H224&gt;J224,1,0)</f>
        <v>0</v>
      </c>
      <c r="I220" s="131"/>
      <c r="J220" s="132">
        <f>IF(J224&gt;H224,1,0)</f>
        <v>0</v>
      </c>
      <c r="K220" s="133"/>
      <c r="L220" s="134"/>
      <c r="M220" s="134"/>
      <c r="N220" s="135"/>
      <c r="S220" s="120"/>
      <c r="T220" s="120"/>
      <c r="U220" s="402"/>
      <c r="V220" s="402"/>
      <c r="W220" s="403"/>
      <c r="X220" s="130">
        <f>IF(X224&gt;Z224,1,0)</f>
        <v>0</v>
      </c>
      <c r="Y220" s="131"/>
      <c r="Z220" s="132">
        <f>IF(Z224&gt;X224,1,0)</f>
        <v>0</v>
      </c>
      <c r="AA220" s="130">
        <f>IF(AA224&gt;AC224,1,0)</f>
        <v>0</v>
      </c>
      <c r="AB220" s="131"/>
      <c r="AC220" s="132">
        <f>IF(AC224&gt;AA224,1,0)</f>
        <v>0</v>
      </c>
      <c r="AD220" s="130">
        <f>IF(AD224&gt;AF224,1,0)</f>
        <v>0</v>
      </c>
      <c r="AE220" s="131"/>
      <c r="AF220" s="132">
        <f>IF(AF224&gt;AD224,1,0)</f>
        <v>0</v>
      </c>
      <c r="AG220" s="153"/>
      <c r="AH220" s="154"/>
      <c r="AI220" s="120"/>
      <c r="AJ220" s="120"/>
      <c r="AK220" s="120"/>
      <c r="AZ220" s="74"/>
      <c r="BA220" s="74"/>
    </row>
    <row r="221" spans="1:53" ht="13.5" hidden="1" customHeight="1" x14ac:dyDescent="0.25">
      <c r="A221" s="11"/>
      <c r="B221" s="130">
        <f>IF(B225&gt;D225,1,0)</f>
        <v>0</v>
      </c>
      <c r="C221" s="131"/>
      <c r="D221" s="132">
        <f>IF(D225&gt;B225,1,0)</f>
        <v>0</v>
      </c>
      <c r="E221" s="130">
        <f>IF(E225&gt;G225,1,0)</f>
        <v>0</v>
      </c>
      <c r="F221" s="131"/>
      <c r="G221" s="132">
        <f>IF(G225&gt;E225,1,0)</f>
        <v>0</v>
      </c>
      <c r="H221" s="130">
        <f>IF(H225&gt;J225,1,0)</f>
        <v>0</v>
      </c>
      <c r="I221" s="131"/>
      <c r="J221" s="132">
        <f>IF(J225&gt;H225,1,0)</f>
        <v>0</v>
      </c>
      <c r="K221" s="133"/>
      <c r="L221" s="134"/>
      <c r="M221" s="134"/>
      <c r="N221" s="135"/>
      <c r="S221" s="120"/>
      <c r="T221" s="120"/>
      <c r="U221" s="402"/>
      <c r="V221" s="402"/>
      <c r="W221" s="403"/>
      <c r="X221" s="130">
        <f>IF(X225&gt;Z225,1,0)</f>
        <v>0</v>
      </c>
      <c r="Y221" s="131"/>
      <c r="Z221" s="132">
        <f>IF(Z225&gt;X225,1,0)</f>
        <v>0</v>
      </c>
      <c r="AA221" s="130">
        <f>IF(AA225&gt;AC225,1,0)</f>
        <v>0</v>
      </c>
      <c r="AB221" s="131"/>
      <c r="AC221" s="132">
        <f>IF(AC225&gt;AA225,1,0)</f>
        <v>0</v>
      </c>
      <c r="AD221" s="130">
        <f>IF(AD225&gt;AF225,1,0)</f>
        <v>0</v>
      </c>
      <c r="AE221" s="131"/>
      <c r="AF221" s="132">
        <f>IF(AF225&gt;AD225,1,0)</f>
        <v>0</v>
      </c>
      <c r="AG221" s="153"/>
      <c r="AH221" s="154"/>
      <c r="AI221" s="120"/>
      <c r="AJ221" s="120"/>
      <c r="AK221" s="120"/>
      <c r="AZ221" s="74"/>
      <c r="BA221" s="74"/>
    </row>
    <row r="222" spans="1:53" ht="13.5" hidden="1" customHeight="1" x14ac:dyDescent="0.25">
      <c r="A222" s="11"/>
      <c r="B222" s="130">
        <f>SUM(B219:B221)</f>
        <v>0</v>
      </c>
      <c r="C222" s="131"/>
      <c r="D222" s="130">
        <f>SUM(D219:D221)</f>
        <v>0</v>
      </c>
      <c r="E222" s="130">
        <f>SUM(E219:E221)</f>
        <v>0</v>
      </c>
      <c r="F222" s="131"/>
      <c r="G222" s="130">
        <f>SUM(G219:G221)</f>
        <v>0</v>
      </c>
      <c r="H222" s="130">
        <f>SUM(H219:H221)</f>
        <v>0</v>
      </c>
      <c r="I222" s="131"/>
      <c r="J222" s="130">
        <f>SUM(J219:J221)</f>
        <v>0</v>
      </c>
      <c r="K222" s="133"/>
      <c r="L222" s="134"/>
      <c r="M222" s="134"/>
      <c r="N222" s="135"/>
      <c r="S222" s="120"/>
      <c r="T222" s="120"/>
      <c r="U222" s="402"/>
      <c r="V222" s="402"/>
      <c r="W222" s="403"/>
      <c r="X222" s="130">
        <f>SUM(X219:X221)</f>
        <v>0</v>
      </c>
      <c r="Y222" s="131"/>
      <c r="Z222" s="130">
        <f>SUM(Z219:Z221)</f>
        <v>0</v>
      </c>
      <c r="AA222" s="130">
        <f>SUM(AA219:AA221)</f>
        <v>0</v>
      </c>
      <c r="AB222" s="131"/>
      <c r="AC222" s="130">
        <f>SUM(AC219:AC221)</f>
        <v>0</v>
      </c>
      <c r="AD222" s="130">
        <f>SUM(AD219:AD221)</f>
        <v>0</v>
      </c>
      <c r="AE222" s="131"/>
      <c r="AF222" s="130">
        <f>SUM(AF219:AF221)</f>
        <v>0</v>
      </c>
      <c r="AG222" s="153"/>
      <c r="AH222" s="154"/>
      <c r="AI222" s="120"/>
      <c r="AJ222" s="120"/>
      <c r="AK222" s="120"/>
      <c r="AZ222" s="74"/>
      <c r="BA222" s="74"/>
    </row>
    <row r="223" spans="1:53" ht="12.75" customHeight="1" x14ac:dyDescent="0.25">
      <c r="A223" s="4" t="s">
        <v>51</v>
      </c>
      <c r="B223" s="138"/>
      <c r="C223" s="70" t="s">
        <v>52</v>
      </c>
      <c r="D223" s="139"/>
      <c r="E223" s="140"/>
      <c r="F223" s="70" t="s">
        <v>52</v>
      </c>
      <c r="G223" s="139"/>
      <c r="H223" s="140"/>
      <c r="I223" s="70" t="s">
        <v>52</v>
      </c>
      <c r="J223" s="141"/>
      <c r="K223" s="407" t="str">
        <f>IF(AND(OR(H222&gt;0,J222&gt;0),AND(1&lt;=H218,H218&lt;=4),AND(1&lt;=J218,J218&lt;=4)),IF(H222&gt;J222,H218,IF(J222&gt;H222,J218,"")),"")</f>
        <v/>
      </c>
      <c r="L223" s="408"/>
      <c r="M223" s="408"/>
      <c r="N223" s="409"/>
      <c r="S223" s="120"/>
      <c r="T223" s="120"/>
      <c r="U223" s="142"/>
      <c r="V223" s="142"/>
      <c r="W223" s="4" t="s">
        <v>51</v>
      </c>
      <c r="X223" s="138"/>
      <c r="Y223" s="70" t="s">
        <v>52</v>
      </c>
      <c r="Z223" s="139"/>
      <c r="AA223" s="140"/>
      <c r="AB223" s="70" t="s">
        <v>52</v>
      </c>
      <c r="AC223" s="139"/>
      <c r="AD223" s="140"/>
      <c r="AE223" s="70" t="s">
        <v>52</v>
      </c>
      <c r="AF223" s="141"/>
      <c r="AG223" s="407" t="str">
        <f>IF(AND(OR(AD222&gt;0,AF222&gt;0),AND(1&lt;=AD218,AD218&lt;=4),AND(1&lt;=AF218,AF218&lt;=4)),IF(AD222&gt;AF222,AD218,IF(AF222&gt;AD222,AF218,"")),"")</f>
        <v/>
      </c>
      <c r="AH223" s="409"/>
      <c r="AI223" s="120"/>
      <c r="AJ223" s="120"/>
      <c r="AK223" s="120"/>
      <c r="AZ223" s="74"/>
      <c r="BA223" s="74"/>
    </row>
    <row r="224" spans="1:53" ht="12.75" customHeight="1" x14ac:dyDescent="0.25">
      <c r="A224" s="4" t="s">
        <v>135</v>
      </c>
      <c r="B224" s="138"/>
      <c r="C224" s="70" t="s">
        <v>52</v>
      </c>
      <c r="D224" s="139"/>
      <c r="E224" s="140"/>
      <c r="F224" s="70" t="s">
        <v>52</v>
      </c>
      <c r="G224" s="139"/>
      <c r="H224" s="140"/>
      <c r="I224" s="70" t="s">
        <v>52</v>
      </c>
      <c r="J224" s="141"/>
      <c r="K224" s="410"/>
      <c r="L224" s="411"/>
      <c r="M224" s="411"/>
      <c r="N224" s="412"/>
      <c r="S224" s="120"/>
      <c r="T224" s="120"/>
      <c r="U224" s="142"/>
      <c r="V224" s="142"/>
      <c r="W224" s="4" t="s">
        <v>135</v>
      </c>
      <c r="X224" s="138"/>
      <c r="Y224" s="70" t="s">
        <v>52</v>
      </c>
      <c r="Z224" s="139"/>
      <c r="AA224" s="140"/>
      <c r="AB224" s="70" t="s">
        <v>52</v>
      </c>
      <c r="AC224" s="139"/>
      <c r="AD224" s="140"/>
      <c r="AE224" s="70" t="s">
        <v>52</v>
      </c>
      <c r="AF224" s="141"/>
      <c r="AG224" s="410"/>
      <c r="AH224" s="412"/>
      <c r="AI224" s="120"/>
      <c r="AJ224" s="120"/>
      <c r="AK224" s="120"/>
      <c r="AZ224" s="74"/>
      <c r="BA224" s="74"/>
    </row>
    <row r="225" spans="1:80" ht="13.5" customHeight="1" thickBot="1" x14ac:dyDescent="0.3">
      <c r="A225" s="4" t="s">
        <v>136</v>
      </c>
      <c r="B225" s="143"/>
      <c r="C225" s="144" t="s">
        <v>52</v>
      </c>
      <c r="D225" s="145"/>
      <c r="E225" s="146"/>
      <c r="F225" s="144" t="s">
        <v>52</v>
      </c>
      <c r="G225" s="145"/>
      <c r="H225" s="146"/>
      <c r="I225" s="144" t="s">
        <v>52</v>
      </c>
      <c r="J225" s="147"/>
      <c r="K225" s="413"/>
      <c r="L225" s="414"/>
      <c r="M225" s="414"/>
      <c r="N225" s="415"/>
      <c r="S225" s="120"/>
      <c r="T225" s="120"/>
      <c r="U225" s="142"/>
      <c r="V225" s="142"/>
      <c r="W225" s="4" t="s">
        <v>136</v>
      </c>
      <c r="X225" s="143"/>
      <c r="Y225" s="144" t="s">
        <v>52</v>
      </c>
      <c r="Z225" s="145"/>
      <c r="AA225" s="146"/>
      <c r="AB225" s="144" t="s">
        <v>52</v>
      </c>
      <c r="AC225" s="145"/>
      <c r="AD225" s="146"/>
      <c r="AE225" s="144" t="s">
        <v>52</v>
      </c>
      <c r="AF225" s="147"/>
      <c r="AG225" s="413"/>
      <c r="AH225" s="415"/>
      <c r="AI225" s="120"/>
      <c r="AJ225" s="120"/>
      <c r="AK225" s="120"/>
      <c r="AZ225" s="74"/>
      <c r="BA225" s="74"/>
    </row>
    <row r="226" spans="1:80" hidden="1" x14ac:dyDescent="0.25">
      <c r="B226" s="3"/>
      <c r="C226" s="148" t="s">
        <v>86</v>
      </c>
      <c r="D226" s="3" t="s">
        <v>137</v>
      </c>
      <c r="E226" s="3"/>
      <c r="F226" s="148"/>
      <c r="G226" t="s">
        <v>138</v>
      </c>
      <c r="J226" t="s">
        <v>139</v>
      </c>
      <c r="X226" s="3"/>
      <c r="Y226" s="148" t="s">
        <v>86</v>
      </c>
      <c r="Z226" s="3" t="s">
        <v>137</v>
      </c>
      <c r="AA226" s="3"/>
      <c r="AB226" s="148"/>
      <c r="AC226" t="s">
        <v>138</v>
      </c>
      <c r="AF226" t="s">
        <v>139</v>
      </c>
      <c r="AT226" t="str">
        <f>B227</f>
        <v>SC Midlands KP Garnet</v>
      </c>
      <c r="AU226">
        <f>J227</f>
        <v>1246.5304984710244</v>
      </c>
      <c r="AW226" s="149"/>
      <c r="AX226" s="74"/>
      <c r="AY226" s="74"/>
      <c r="AZ226" s="74"/>
      <c r="BA226" s="74"/>
      <c r="BB226" s="149"/>
      <c r="BC226" s="74"/>
      <c r="BD226" s="74"/>
      <c r="BE226" s="149"/>
      <c r="BF226" s="74"/>
      <c r="BG226" s="74"/>
      <c r="BH226" s="149"/>
      <c r="BI226" s="74"/>
      <c r="BJ226" s="74"/>
      <c r="BK226" s="149"/>
      <c r="BL226" s="74"/>
      <c r="BM226" s="74"/>
      <c r="BN226" s="149"/>
      <c r="BO226" s="74"/>
      <c r="BP226" s="74"/>
      <c r="BQ226" s="149"/>
      <c r="BR226" s="74"/>
      <c r="BS226" s="74"/>
      <c r="BT226" s="149"/>
      <c r="BU226" s="74"/>
      <c r="BV226" s="74"/>
      <c r="BW226" s="149"/>
      <c r="BX226" s="74"/>
      <c r="BY226" s="74"/>
      <c r="BZ226" s="149"/>
      <c r="CA226" s="74"/>
      <c r="CB226" s="74"/>
    </row>
    <row r="227" spans="1:80" hidden="1" x14ac:dyDescent="0.25">
      <c r="A227">
        <v>1</v>
      </c>
      <c r="B227" t="str">
        <f>B210</f>
        <v>SC Midlands KP Garnet</v>
      </c>
      <c r="C227">
        <f>VLOOKUP(B227,AU$2:AY$10,4,FALSE)</f>
        <v>1246.5304984710244</v>
      </c>
      <c r="D227">
        <f>IF(A227=B218,B233,IF(A227=D218,D233,C227))</f>
        <v>1246.5304984710244</v>
      </c>
      <c r="G227">
        <f>IF(A227=E218,E233,IF(A227=G218,G233,D227))</f>
        <v>1246.5304984710244</v>
      </c>
      <c r="J227">
        <f>IF(A227=H218,H233,IF(A227=J218,J233,G227))</f>
        <v>1246.5304984710244</v>
      </c>
      <c r="V227" s="150"/>
      <c r="W227" s="150">
        <v>1</v>
      </c>
      <c r="X227" t="str">
        <f>Y210</f>
        <v>SC Midlands KP Silver</v>
      </c>
      <c r="Y227">
        <f>VLOOKUP(X227,AU$2:AY$10,4,FALSE)</f>
        <v>1185.4695015289756</v>
      </c>
      <c r="Z227">
        <f>IF(AND(W227=X218,ISNUMBER(X218)),X233,IF(AND(W227=Z218,ISNUMBER(Z218)),Z233,Y227))</f>
        <v>1185.4695015289756</v>
      </c>
      <c r="AC227">
        <f>IF(W227=AA218,AA233,IF(W227=AC218,AC233,Z227))</f>
        <v>1185.4695015289756</v>
      </c>
      <c r="AF227">
        <f>IF(W227=AD218,AD233,IF(W227=AF218,AF233,AC227))</f>
        <v>1185.4695015289756</v>
      </c>
      <c r="AT227" t="str">
        <f>B228</f>
        <v>Intense Kids power Gvl</v>
      </c>
      <c r="AU227">
        <f>J228</f>
        <v>1340.2864854074439</v>
      </c>
      <c r="AW227" s="149"/>
      <c r="AX227" s="74"/>
      <c r="AY227" s="74"/>
      <c r="AZ227" s="74"/>
      <c r="BA227" s="74"/>
      <c r="BB227" s="149"/>
      <c r="BC227" s="74"/>
      <c r="BD227" s="74"/>
      <c r="BE227" s="149"/>
      <c r="BF227" s="74"/>
      <c r="BG227" s="74"/>
      <c r="BH227" s="149"/>
      <c r="BI227" s="74"/>
      <c r="BJ227" s="74"/>
      <c r="BK227" s="149"/>
      <c r="BL227" s="74"/>
      <c r="BM227" s="74"/>
      <c r="BN227" s="149"/>
      <c r="BO227" s="74"/>
      <c r="BP227" s="74"/>
      <c r="BQ227" s="149"/>
      <c r="BR227" s="74"/>
      <c r="BS227" s="74"/>
      <c r="BT227" s="149"/>
      <c r="BU227" s="74"/>
      <c r="BV227" s="74"/>
      <c r="BW227" s="149"/>
      <c r="BX227" s="74"/>
      <c r="BY227" s="74"/>
      <c r="BZ227" s="149"/>
      <c r="CA227" s="74"/>
      <c r="CB227" s="74"/>
    </row>
    <row r="228" spans="1:80" hidden="1" x14ac:dyDescent="0.25">
      <c r="A228">
        <v>2</v>
      </c>
      <c r="B228" t="str">
        <f>B211</f>
        <v>Intense Kids power Gvl</v>
      </c>
      <c r="C228">
        <f>VLOOKUP(B228,AU$2:AY$10,4,FALSE)</f>
        <v>1340.2864854074439</v>
      </c>
      <c r="D228">
        <f>IF(A228=B218,B233,IF(A228=D218,D233,C228))</f>
        <v>1340.2864854074439</v>
      </c>
      <c r="G228">
        <f>IF(A228=E218,E233,IF(A228=G218,G233,D228))</f>
        <v>1340.2864854074439</v>
      </c>
      <c r="J228">
        <f>IF(A228=H218,H233,IF(A228=J218,J233,G228))</f>
        <v>1340.2864854074439</v>
      </c>
      <c r="V228" s="150"/>
      <c r="W228" s="150">
        <v>2</v>
      </c>
      <c r="X228" t="str">
        <f>Y211</f>
        <v>Columbia SC Starlings 12</v>
      </c>
      <c r="Y228">
        <f>VLOOKUP(X228,AU$2:AY$10,4,FALSE)</f>
        <v>1151.7348719648749</v>
      </c>
      <c r="Z228">
        <f>IF(W228=X218,X233,IF(W228=Z218,Z233,Y228))</f>
        <v>1151.7348719648749</v>
      </c>
      <c r="AC228">
        <f>IF(W228=AA218,AA233,IF(W228=AC218,AC233,Z228))</f>
        <v>1151.7348719648749</v>
      </c>
      <c r="AF228">
        <f>IF(W228=AD218,AD233,IF(W228=AF218,AF233,AC228))</f>
        <v>1151.7348719648749</v>
      </c>
      <c r="AT228" t="str">
        <f>B229</f>
        <v>Kershaw Dev 12 Black</v>
      </c>
      <c r="AU228">
        <f>J229</f>
        <v>1214.5304984710244</v>
      </c>
      <c r="AW228" s="149"/>
      <c r="AX228" s="74"/>
      <c r="AY228" s="74"/>
      <c r="AZ228" s="74"/>
      <c r="BA228" s="74"/>
      <c r="BB228" s="149"/>
      <c r="BC228" s="74"/>
      <c r="BD228" s="74"/>
      <c r="BE228" s="149"/>
      <c r="BF228" s="74"/>
      <c r="BG228" s="74"/>
      <c r="BH228" s="149"/>
      <c r="BI228" s="74"/>
      <c r="BJ228" s="74"/>
      <c r="BK228" s="149"/>
      <c r="BL228" s="74"/>
      <c r="BM228" s="74"/>
      <c r="BN228" s="149"/>
      <c r="BO228" s="74"/>
      <c r="BP228" s="74"/>
      <c r="BQ228" s="149"/>
      <c r="BR228" s="74"/>
      <c r="BS228" s="74"/>
      <c r="BT228" s="149"/>
      <c r="BU228" s="74"/>
      <c r="BV228" s="74"/>
      <c r="BW228" s="149"/>
      <c r="BX228" s="74"/>
      <c r="BY228" s="74"/>
      <c r="BZ228" s="149"/>
      <c r="CA228" s="74"/>
      <c r="CB228" s="74"/>
    </row>
    <row r="229" spans="1:80" hidden="1" x14ac:dyDescent="0.25">
      <c r="A229">
        <v>3</v>
      </c>
      <c r="B229" t="str">
        <f>B212</f>
        <v>Kershaw Dev 12 Black</v>
      </c>
      <c r="C229">
        <f>VLOOKUP(B229,AU$2:AY$10,4,FALSE)</f>
        <v>1214.5304984710244</v>
      </c>
      <c r="D229">
        <f>IF(A229=B218,B233,IF(A229=D218,D233,C229))</f>
        <v>1214.5304984710244</v>
      </c>
      <c r="G229">
        <f>IF(A229=E218,E233,IF(A229=G218,G233,D229))</f>
        <v>1214.5304984710244</v>
      </c>
      <c r="J229">
        <f>IF(A229=H218,H233,IF(A229=J218,J233,G229))</f>
        <v>1214.5304984710244</v>
      </c>
      <c r="V229" s="150"/>
      <c r="W229" s="150">
        <v>3</v>
      </c>
      <c r="X229" t="str">
        <f>Y212</f>
        <v>Foothills Skylar</v>
      </c>
      <c r="Y229">
        <f>VLOOKUP(X229,AU$2:AY$10,4,FALSE)</f>
        <v>1153.4695015289756</v>
      </c>
      <c r="Z229">
        <f>IF(W229=X218,X233,IF(W229=Z218,Z233,Y229))</f>
        <v>1153.4695015289756</v>
      </c>
      <c r="AC229">
        <f>IF(W229=AA218,AA233,IF(W229=AC218,AC233,Z229))</f>
        <v>1153.4695015289756</v>
      </c>
      <c r="AF229">
        <f>IF(W229=AD218,AD233,IF(W229=AF218,AF233,AC229))</f>
        <v>1153.4695015289756</v>
      </c>
      <c r="AT229" t="str">
        <f>B230</f>
        <v>SC Midlands KP Black</v>
      </c>
      <c r="AU229">
        <f>J230</f>
        <v>1237.251057639922</v>
      </c>
      <c r="AW229" s="149"/>
      <c r="AX229" s="74"/>
      <c r="AY229" s="74"/>
      <c r="AZ229" s="74"/>
      <c r="BA229" s="74"/>
      <c r="BB229" s="149"/>
      <c r="BC229" s="74"/>
      <c r="BD229" s="74"/>
      <c r="BE229" s="149"/>
      <c r="BF229" s="74"/>
      <c r="BG229" s="74"/>
      <c r="BH229" s="149"/>
      <c r="BI229" s="74"/>
      <c r="BJ229" s="74"/>
      <c r="BK229" s="149"/>
      <c r="BL229" s="74"/>
      <c r="BM229" s="74"/>
      <c r="BN229" s="149"/>
      <c r="BO229" s="74"/>
      <c r="BP229" s="74"/>
      <c r="BQ229" s="149"/>
      <c r="BR229" s="74"/>
      <c r="BS229" s="74"/>
      <c r="BT229" s="149"/>
      <c r="BU229" s="74"/>
      <c r="BV229" s="74"/>
      <c r="BW229" s="149"/>
      <c r="BX229" s="74"/>
      <c r="BY229" s="74"/>
      <c r="BZ229" s="149"/>
      <c r="CA229" s="74"/>
      <c r="CB229" s="74"/>
    </row>
    <row r="230" spans="1:80" hidden="1" x14ac:dyDescent="0.25">
      <c r="A230">
        <v>4</v>
      </c>
      <c r="B230" t="str">
        <f>B213</f>
        <v>SC Midlands KP Black</v>
      </c>
      <c r="C230">
        <f>VLOOKUP(B230,AU$2:AY$10,4,FALSE)</f>
        <v>1237.251057639922</v>
      </c>
      <c r="D230">
        <f>IF(A230=B218,B233,IF(A230=D218,D233,C230))</f>
        <v>1237.251057639922</v>
      </c>
      <c r="G230">
        <f>IF(A230=E218,E233,IF(A230=G218,G233,D230))</f>
        <v>1237.251057639922</v>
      </c>
      <c r="J230">
        <f>IF(A230=H218,H233,IF(A230=J218,J233,G230))</f>
        <v>1237.251057639922</v>
      </c>
      <c r="V230" s="150"/>
      <c r="W230" s="150">
        <v>4</v>
      </c>
      <c r="X230" t="str">
        <f>Y213</f>
        <v>BYE</v>
      </c>
      <c r="Y230" t="e">
        <f>VLOOKUP(X230,AU$2:AY$10,4,FALSE)</f>
        <v>#N/A</v>
      </c>
      <c r="Z230" t="e">
        <f>IF(W230=X218,X233,IF(W230=Z218,Z233,Y230))</f>
        <v>#N/A</v>
      </c>
      <c r="AC230" t="e">
        <f>IF(W230=AA218,AA233,IF(W230=AC218,AC233,Z230))</f>
        <v>#N/A</v>
      </c>
      <c r="AF230" t="e">
        <f>IF(W230=AD218,AD233,IF(W230=AF218,AF233,AC230))</f>
        <v>#N/A</v>
      </c>
      <c r="AT230" t="str">
        <f>X227</f>
        <v>SC Midlands KP Silver</v>
      </c>
      <c r="AU230">
        <f>AF227</f>
        <v>1185.4695015289756</v>
      </c>
      <c r="AW230" s="149"/>
      <c r="AX230" s="74"/>
      <c r="AY230" s="74"/>
      <c r="AZ230" s="74"/>
      <c r="BA230" s="74"/>
      <c r="BB230" s="149"/>
      <c r="BC230" s="74"/>
      <c r="BD230" s="74"/>
      <c r="BE230" s="149"/>
      <c r="BF230" s="74"/>
      <c r="BG230" s="74"/>
      <c r="BH230" s="149"/>
      <c r="BI230" s="74"/>
      <c r="BJ230" s="74"/>
      <c r="BK230" s="149"/>
      <c r="BL230" s="74"/>
      <c r="BM230" s="74"/>
      <c r="BN230" s="149"/>
      <c r="BO230" s="74"/>
      <c r="BP230" s="74"/>
      <c r="BQ230" s="149"/>
      <c r="BR230" s="74"/>
      <c r="BS230" s="74"/>
      <c r="BT230" s="149"/>
      <c r="BU230" s="74"/>
      <c r="BV230" s="74"/>
      <c r="BW230" s="149"/>
      <c r="BX230" s="74"/>
      <c r="BY230" s="74"/>
      <c r="BZ230" s="149"/>
      <c r="CA230" s="74"/>
      <c r="CB230" s="74"/>
    </row>
    <row r="231" spans="1:80" hidden="1" x14ac:dyDescent="0.25">
      <c r="A231" t="s">
        <v>88</v>
      </c>
      <c r="B231">
        <f>VLOOKUP(B218,$A227:$J230,3,FALSE)</f>
        <v>1246.5304984710244</v>
      </c>
      <c r="D231">
        <f>VLOOKUP(D218,$A227:$J230,3,FALSE)</f>
        <v>1237.251057639922</v>
      </c>
      <c r="E231">
        <f>VLOOKUP(E218,$A227:$J230,4,FALSE)</f>
        <v>1340.2864854074439</v>
      </c>
      <c r="G231">
        <f>VLOOKUP(G218,$A227:$J230,4,FALSE)</f>
        <v>1214.5304984710244</v>
      </c>
      <c r="H231" t="e">
        <f>VLOOKUP(H218,$A227:$J230,7,FALSE)</f>
        <v>#N/A</v>
      </c>
      <c r="J231" t="e">
        <f>VLOOKUP(J218,$A227:$J230,7,FALSE)</f>
        <v>#N/A</v>
      </c>
      <c r="U231" s="416" t="s">
        <v>88</v>
      </c>
      <c r="V231" s="416"/>
      <c r="W231" s="416"/>
      <c r="X231">
        <f>VLOOKUP(X218,$W227:$AF230,3,FALSE)</f>
        <v>1185.4695015289756</v>
      </c>
      <c r="Z231" t="e">
        <f>VLOOKUP(Z218,$W227:$AF230,3,FALSE)</f>
        <v>#N/A</v>
      </c>
      <c r="AA231">
        <f>VLOOKUP(AA218,$W227:$AF230,4,FALSE)</f>
        <v>1151.7348719648749</v>
      </c>
      <c r="AC231">
        <f>VLOOKUP(AC218,$W227:$AF230,4,FALSE)</f>
        <v>1153.4695015289756</v>
      </c>
      <c r="AD231">
        <f>VLOOKUP(AD218,$W227:$AF230,7,FALSE)</f>
        <v>1185.4695015289756</v>
      </c>
      <c r="AF231" t="e">
        <f>VLOOKUP(AF218,$W227:$AF230,7,FALSE)</f>
        <v>#N/A</v>
      </c>
      <c r="AT231" t="str">
        <f>X228</f>
        <v>Columbia SC Starlings 12</v>
      </c>
      <c r="AU231">
        <f>AF228</f>
        <v>1151.7348719648749</v>
      </c>
      <c r="AW231" s="149"/>
      <c r="AX231" s="74"/>
      <c r="AY231" s="74"/>
      <c r="AZ231" s="74"/>
      <c r="BA231" s="74"/>
      <c r="BB231" s="149"/>
      <c r="BC231" s="74"/>
      <c r="BD231" s="74"/>
      <c r="BE231" s="149"/>
      <c r="BF231" s="74"/>
      <c r="BG231" s="74"/>
      <c r="BH231" s="149"/>
      <c r="BI231" s="74"/>
      <c r="BJ231" s="74"/>
      <c r="BK231" s="149"/>
      <c r="BL231" s="74"/>
      <c r="BM231" s="74"/>
      <c r="BN231" s="149"/>
      <c r="BO231" s="74"/>
      <c r="BP231" s="74"/>
      <c r="BQ231" s="149"/>
      <c r="BR231" s="74"/>
      <c r="BS231" s="74"/>
      <c r="BT231" s="149"/>
      <c r="BU231" s="74"/>
      <c r="BV231" s="74"/>
      <c r="BW231" s="149"/>
      <c r="BX231" s="74"/>
      <c r="BY231" s="74"/>
      <c r="BZ231" s="149"/>
      <c r="CA231" s="74"/>
      <c r="CB231" s="74"/>
    </row>
    <row r="232" spans="1:80" hidden="1" x14ac:dyDescent="0.25">
      <c r="A232" s="88" t="s">
        <v>89</v>
      </c>
      <c r="B232" s="88">
        <f>IF(OR(B222&gt;0,D222&gt;0),1/(1+(10^-((B231-D231)/400)))*(B222+D222),0)</f>
        <v>0</v>
      </c>
      <c r="C232" s="88"/>
      <c r="D232" s="88">
        <f>IF(OR(B222&gt;0,D222&gt;0),1/(1+(10^-((D231-B231)/400)))*(B222+D222),0)</f>
        <v>0</v>
      </c>
      <c r="E232" s="88">
        <f>IF(OR(E222&gt;0,G222&gt;0),1/(1+(10^-((E231-G231)/400)))*(E222+G222),0)</f>
        <v>0</v>
      </c>
      <c r="F232" s="88"/>
      <c r="G232" s="88">
        <f>IF(OR(E222&gt;0,G222&gt;0),1/(1+(10^-((G231-E231)/400)))*(E222+G222),0)</f>
        <v>0</v>
      </c>
      <c r="H232" s="88">
        <f>IF(OR(H222&gt;0,J222&gt;0),1/(1+(10^-((H231-J231)/400)))*(H222+J222),0)</f>
        <v>0</v>
      </c>
      <c r="I232" s="88"/>
      <c r="J232" s="88">
        <f>IF(OR(H222&gt;0,J222&gt;0),1/(1+(10^-((J231-H231)/400)))*(H222+J222),0)</f>
        <v>0</v>
      </c>
      <c r="K232" s="88"/>
      <c r="U232" s="417" t="s">
        <v>89</v>
      </c>
      <c r="V232" s="417"/>
      <c r="W232" s="417"/>
      <c r="X232" s="88">
        <f>IF(OR(X222&gt;0,Z222&gt;0),1/(1+(10^-((X231-Z231)/400)))*(X222+Z222),0)</f>
        <v>0</v>
      </c>
      <c r="Y232" s="88"/>
      <c r="Z232" s="88">
        <f>IF(OR(X222&gt;0,Z222&gt;0),1/(1+(10^-((Z231-X231)/400)))*(X222+Z222),0)</f>
        <v>0</v>
      </c>
      <c r="AA232" s="88">
        <f>IF(OR(AA222&gt;0,AC222&gt;0),1/(1+(10^-((AA231-AC231)/400)))*(AA222+AC222),0)</f>
        <v>0</v>
      </c>
      <c r="AB232" s="88"/>
      <c r="AC232" s="88">
        <f>IF(OR(AA222&gt;0,AC222&gt;0),1/(1+(10^-((AC231-AA231)/400)))*(AA222+AC222),0)</f>
        <v>0</v>
      </c>
      <c r="AD232" s="88">
        <f>IF(OR(AD222&gt;0,AF222&gt;0),1/(1+(10^-((AD231-AF231)/400)))*(AD222+AF222),0)</f>
        <v>0</v>
      </c>
      <c r="AE232" s="88"/>
      <c r="AF232" s="88">
        <f>IF(OR(AD222&gt;0,AF222&gt;0),1/(1+(10^-((AF231-AD231)/400)))*(AD222+AF222),0)</f>
        <v>0</v>
      </c>
      <c r="AT232" t="str">
        <f>X229</f>
        <v>Foothills Skylar</v>
      </c>
      <c r="AU232">
        <f>AF229</f>
        <v>1153.4695015289756</v>
      </c>
      <c r="AW232" s="149"/>
      <c r="AX232" s="74"/>
      <c r="AY232" s="74"/>
      <c r="AZ232" s="74"/>
      <c r="BA232" s="74"/>
      <c r="BB232" s="149"/>
      <c r="BC232" s="74"/>
      <c r="BD232" s="74"/>
      <c r="BE232" s="149"/>
      <c r="BF232" s="74"/>
      <c r="BG232" s="74"/>
      <c r="BH232" s="149"/>
      <c r="BI232" s="74"/>
      <c r="BJ232" s="74"/>
      <c r="BK232" s="149"/>
      <c r="BL232" s="74"/>
      <c r="BM232" s="74"/>
      <c r="BN232" s="149"/>
      <c r="BO232" s="74"/>
      <c r="BP232" s="74"/>
      <c r="BQ232" s="149"/>
      <c r="BR232" s="74"/>
      <c r="BS232" s="74"/>
      <c r="BT232" s="149"/>
      <c r="BU232" s="74"/>
      <c r="BV232" s="74"/>
      <c r="BW232" s="149"/>
      <c r="BX232" s="74"/>
      <c r="BY232" s="74"/>
      <c r="BZ232" s="149"/>
      <c r="CA232" s="74"/>
      <c r="CB232" s="74"/>
    </row>
    <row r="233" spans="1:80" hidden="1" x14ac:dyDescent="0.25">
      <c r="A233" s="94" t="s">
        <v>90</v>
      </c>
      <c r="B233" s="94">
        <f>B231+(B222-B232)*$BA$2</f>
        <v>1246.5304984710244</v>
      </c>
      <c r="C233" s="94"/>
      <c r="D233" s="94">
        <f>D231+(D222-D232)*$BA$2</f>
        <v>1237.251057639922</v>
      </c>
      <c r="E233" s="94">
        <f>E231+(E222-E232)*$BA$2</f>
        <v>1340.2864854074439</v>
      </c>
      <c r="G233" s="94">
        <f>G231+(G222-G232)*$BA$2</f>
        <v>1214.5304984710244</v>
      </c>
      <c r="H233" s="94" t="e">
        <f>H231+(H222-H232)*$BA$2</f>
        <v>#N/A</v>
      </c>
      <c r="J233" s="94" t="e">
        <f>J231+(J222-J232)*$BA$2</f>
        <v>#N/A</v>
      </c>
      <c r="K233" s="94"/>
      <c r="U233" s="405" t="s">
        <v>90</v>
      </c>
      <c r="V233" s="405"/>
      <c r="W233" s="405"/>
      <c r="X233" s="94">
        <f>X231+(X222-X232)*$BA$2</f>
        <v>1185.4695015289756</v>
      </c>
      <c r="Y233" s="94"/>
      <c r="Z233" s="94" t="e">
        <f>Z231+(Z222-Z232)*$BA$2</f>
        <v>#N/A</v>
      </c>
      <c r="AA233" s="94">
        <f>AA231+(AA222-AA232)*$BA$2</f>
        <v>1151.7348719648749</v>
      </c>
      <c r="AC233" s="94">
        <f>AC231+(AC222-AC232)*$BA$2</f>
        <v>1153.4695015289756</v>
      </c>
      <c r="AD233" s="94">
        <f>AD231+(AD222-AD232)*$BA$2</f>
        <v>1185.4695015289756</v>
      </c>
      <c r="AF233" s="94" t="e">
        <f>AF231+(AF222-AF232)*$BA$2</f>
        <v>#N/A</v>
      </c>
      <c r="AT233" t="str">
        <f>X230</f>
        <v>BYE</v>
      </c>
      <c r="AU233" t="e">
        <f>AF230</f>
        <v>#N/A</v>
      </c>
      <c r="AW233" s="149"/>
      <c r="AX233" s="74"/>
      <c r="AY233" s="74"/>
      <c r="AZ233" s="74"/>
      <c r="BA233" s="74"/>
      <c r="BB233" s="149"/>
      <c r="BC233" s="74"/>
      <c r="BD233" s="74"/>
      <c r="BE233" s="149"/>
      <c r="BF233" s="74"/>
      <c r="BG233" s="74"/>
      <c r="BH233" s="149"/>
      <c r="BI233" s="74"/>
      <c r="BJ233" s="74"/>
      <c r="BK233" s="149"/>
      <c r="BL233" s="74"/>
      <c r="BM233" s="74"/>
      <c r="BN233" s="149"/>
      <c r="BO233" s="74"/>
      <c r="BP233" s="74"/>
      <c r="BQ233" s="149"/>
      <c r="BR233" s="74"/>
      <c r="BS233" s="74"/>
      <c r="BT233" s="149"/>
      <c r="BU233" s="74"/>
      <c r="BV233" s="74"/>
      <c r="BW233" s="149"/>
      <c r="BX233" s="74"/>
      <c r="BY233" s="74"/>
      <c r="BZ233" s="149"/>
      <c r="CA233" s="74"/>
      <c r="CB233" s="74"/>
    </row>
    <row r="234" spans="1:80" x14ac:dyDescent="0.25">
      <c r="A234" s="406" t="s">
        <v>140</v>
      </c>
      <c r="B234" s="406"/>
      <c r="C234" s="406"/>
      <c r="D234" s="406"/>
      <c r="E234" s="406"/>
      <c r="F234" s="406"/>
      <c r="G234" s="406"/>
      <c r="H234" s="406"/>
      <c r="I234" s="406"/>
      <c r="J234" s="406"/>
      <c r="K234" s="406"/>
      <c r="L234" s="406"/>
      <c r="M234" s="406"/>
      <c r="N234" s="406"/>
      <c r="S234" s="120"/>
      <c r="T234" s="120"/>
      <c r="U234" s="142"/>
      <c r="V234" s="142"/>
      <c r="W234" s="406" t="s">
        <v>140</v>
      </c>
      <c r="X234" s="406"/>
      <c r="Y234" s="406"/>
      <c r="Z234" s="406"/>
      <c r="AA234" s="406"/>
      <c r="AB234" s="406"/>
      <c r="AC234" s="406"/>
      <c r="AD234" s="406"/>
      <c r="AE234" s="406"/>
      <c r="AF234" s="406"/>
      <c r="AG234" s="406"/>
      <c r="AH234" s="406"/>
      <c r="AI234" s="120"/>
      <c r="AJ234" s="120"/>
      <c r="AK234" s="120"/>
      <c r="AZ234" s="74"/>
      <c r="BA234" s="74"/>
    </row>
    <row r="235" spans="1:80" x14ac:dyDescent="0.25">
      <c r="AT235" s="74"/>
      <c r="AU235" s="74"/>
      <c r="AZ235" s="74"/>
      <c r="BA235" s="74"/>
    </row>
    <row r="236" spans="1:80" x14ac:dyDescent="0.25">
      <c r="AT236" s="74"/>
      <c r="AU236" s="74"/>
      <c r="AZ236" s="74"/>
      <c r="BA236" s="74"/>
    </row>
    <row r="237" spans="1:80" x14ac:dyDescent="0.25">
      <c r="AT237" s="74"/>
      <c r="AU237" s="74"/>
      <c r="AZ237" s="74"/>
      <c r="BA237" s="74"/>
    </row>
    <row r="238" spans="1:80" x14ac:dyDescent="0.25">
      <c r="AT238" s="74"/>
      <c r="AU238" s="74"/>
      <c r="AZ238" s="74"/>
      <c r="BA238" s="74"/>
    </row>
    <row r="239" spans="1:80" x14ac:dyDescent="0.25">
      <c r="AT239" s="74"/>
      <c r="AU239" s="74"/>
      <c r="AZ239" s="74"/>
      <c r="BA239" s="74"/>
    </row>
    <row r="240" spans="1:80" x14ac:dyDescent="0.25">
      <c r="AT240" s="74"/>
      <c r="AU240" s="74"/>
      <c r="AZ240" s="74"/>
      <c r="BA240" s="74"/>
    </row>
    <row r="241" spans="46:53" x14ac:dyDescent="0.25">
      <c r="AT241" s="74"/>
      <c r="AU241" s="74"/>
      <c r="AZ241" s="74"/>
      <c r="BA241" s="74"/>
    </row>
    <row r="242" spans="46:53" x14ac:dyDescent="0.25">
      <c r="AT242" s="74"/>
      <c r="AU242" s="74"/>
      <c r="AZ242" s="74"/>
      <c r="BA242" s="74"/>
    </row>
    <row r="243" spans="46:53" x14ac:dyDescent="0.25">
      <c r="AT243" s="74"/>
      <c r="AU243" s="74"/>
      <c r="AZ243" s="74"/>
      <c r="BA243" s="74"/>
    </row>
    <row r="244" spans="46:53" x14ac:dyDescent="0.25">
      <c r="AT244" s="74"/>
      <c r="AU244" s="74"/>
      <c r="AZ244" s="74"/>
      <c r="BA244" s="74"/>
    </row>
    <row r="245" spans="46:53" x14ac:dyDescent="0.25">
      <c r="AT245" s="74"/>
      <c r="AU245" s="74"/>
      <c r="AZ245" s="74"/>
      <c r="BA245" s="74"/>
    </row>
    <row r="246" spans="46:53" x14ac:dyDescent="0.25">
      <c r="AT246" s="74"/>
      <c r="AU246" s="74"/>
      <c r="AZ246" s="74"/>
      <c r="BA246" s="74"/>
    </row>
    <row r="247" spans="46:53" x14ac:dyDescent="0.25">
      <c r="AT247" s="74"/>
      <c r="AU247" s="74"/>
    </row>
    <row r="248" spans="46:53" x14ac:dyDescent="0.25">
      <c r="AT248" s="74"/>
      <c r="AU248" s="74"/>
      <c r="AZ248" s="81"/>
      <c r="BA248" s="81"/>
    </row>
    <row r="249" spans="46:53" x14ac:dyDescent="0.25">
      <c r="AT249" s="74"/>
      <c r="AU249" s="74"/>
      <c r="AZ249" s="81"/>
      <c r="BA249" s="81"/>
    </row>
    <row r="250" spans="46:53" x14ac:dyDescent="0.25">
      <c r="AT250" s="74"/>
      <c r="AU250" s="74"/>
      <c r="AZ250" s="81"/>
      <c r="BA250" s="81"/>
    </row>
    <row r="251" spans="46:53" x14ac:dyDescent="0.25">
      <c r="AT251" s="74"/>
      <c r="AU251" s="74"/>
      <c r="AZ251" s="81"/>
      <c r="BA251" s="81"/>
    </row>
    <row r="252" spans="46:53" x14ac:dyDescent="0.25">
      <c r="AT252" s="74"/>
      <c r="AU252" s="74"/>
      <c r="AZ252" s="81"/>
      <c r="BA252" s="81"/>
    </row>
    <row r="253" spans="46:53" x14ac:dyDescent="0.25">
      <c r="AT253" s="74"/>
      <c r="AU253" s="74"/>
      <c r="AZ253" s="81"/>
      <c r="BA253" s="81"/>
    </row>
    <row r="254" spans="46:53" x14ac:dyDescent="0.25">
      <c r="AT254" s="74"/>
      <c r="AU254" s="74"/>
      <c r="AZ254" s="81"/>
      <c r="BA254" s="81"/>
    </row>
    <row r="255" spans="46:53" x14ac:dyDescent="0.25">
      <c r="AT255" s="74"/>
      <c r="AU255" s="74"/>
      <c r="AZ255" s="81"/>
      <c r="BA255" s="81"/>
    </row>
    <row r="256" spans="46:53" x14ac:dyDescent="0.25">
      <c r="AT256" s="74"/>
      <c r="AU256" s="74"/>
      <c r="AZ256" s="91"/>
      <c r="BA256" s="91"/>
    </row>
    <row r="257" spans="46:53" x14ac:dyDescent="0.25">
      <c r="AT257" s="74"/>
      <c r="AU257" s="74"/>
      <c r="AZ257" s="97"/>
      <c r="BA257" s="97"/>
    </row>
    <row r="258" spans="46:53" x14ac:dyDescent="0.25">
      <c r="AT258" s="74"/>
      <c r="AU258" s="74"/>
      <c r="AZ258" s="97"/>
      <c r="BA258" s="97"/>
    </row>
    <row r="259" spans="46:53" x14ac:dyDescent="0.25">
      <c r="AT259" s="74"/>
      <c r="AU259" s="74"/>
      <c r="AZ259" s="81"/>
      <c r="BA259" s="81"/>
    </row>
    <row r="260" spans="46:53" x14ac:dyDescent="0.25">
      <c r="AT260" s="81"/>
      <c r="AU260" s="81"/>
      <c r="AZ260" s="81"/>
      <c r="BA260" s="81"/>
    </row>
    <row r="261" spans="46:53" x14ac:dyDescent="0.25">
      <c r="AT261" s="81"/>
      <c r="AU261" s="81"/>
    </row>
    <row r="286" spans="46:53" x14ac:dyDescent="0.25">
      <c r="AT286" s="74"/>
      <c r="AU286" s="74"/>
      <c r="AZ286" s="74"/>
      <c r="BA286" s="74"/>
    </row>
    <row r="287" spans="46:53" x14ac:dyDescent="0.25">
      <c r="AT287" s="74"/>
      <c r="AU287" s="74"/>
      <c r="AZ287" s="74"/>
      <c r="BA287" s="74"/>
    </row>
    <row r="288" spans="46:53" x14ac:dyDescent="0.25">
      <c r="AT288" s="74"/>
      <c r="AU288" s="74"/>
      <c r="AZ288" s="74"/>
      <c r="BA288" s="74"/>
    </row>
    <row r="289" spans="46:53" x14ac:dyDescent="0.25">
      <c r="AT289" s="74"/>
      <c r="AU289" s="74"/>
      <c r="AZ289" s="74"/>
      <c r="BA289" s="74"/>
    </row>
    <row r="290" spans="46:53" x14ac:dyDescent="0.25">
      <c r="AT290" s="74"/>
      <c r="AU290" s="74"/>
      <c r="AZ290" s="74"/>
      <c r="BA290" s="74"/>
    </row>
    <row r="291" spans="46:53" x14ac:dyDescent="0.25">
      <c r="AT291" s="74"/>
      <c r="AU291" s="74"/>
      <c r="AZ291" s="74"/>
      <c r="BA291" s="74"/>
    </row>
    <row r="292" spans="46:53" x14ac:dyDescent="0.25">
      <c r="AT292" s="74"/>
      <c r="AU292" s="74"/>
      <c r="AZ292" s="74"/>
      <c r="BA292" s="74"/>
    </row>
    <row r="293" spans="46:53" x14ac:dyDescent="0.25">
      <c r="AT293" s="74"/>
      <c r="AU293" s="74"/>
      <c r="AZ293" s="74"/>
      <c r="BA293" s="74"/>
    </row>
    <row r="294" spans="46:53" x14ac:dyDescent="0.25">
      <c r="AT294" s="74"/>
      <c r="AU294" s="74"/>
      <c r="AZ294" s="74"/>
      <c r="BA294" s="74"/>
    </row>
    <row r="295" spans="46:53" x14ac:dyDescent="0.25">
      <c r="AT295" s="74"/>
      <c r="AU295" s="74"/>
      <c r="AZ295" s="74"/>
      <c r="BA295" s="74"/>
    </row>
    <row r="296" spans="46:53" x14ac:dyDescent="0.25">
      <c r="AT296" s="74"/>
      <c r="AU296" s="74"/>
      <c r="AZ296" s="74"/>
      <c r="BA296" s="74"/>
    </row>
    <row r="297" spans="46:53" x14ac:dyDescent="0.25">
      <c r="AT297" s="74"/>
      <c r="AU297" s="74"/>
      <c r="AZ297" s="74"/>
      <c r="BA297" s="74"/>
    </row>
    <row r="298" spans="46:53" x14ac:dyDescent="0.25">
      <c r="AT298" s="74"/>
      <c r="AU298" s="74"/>
      <c r="AZ298" s="74"/>
      <c r="BA298" s="74"/>
    </row>
    <row r="299" spans="46:53" x14ac:dyDescent="0.25">
      <c r="AT299" s="74"/>
      <c r="AU299" s="74"/>
      <c r="AZ299" s="74"/>
      <c r="BA299" s="74"/>
    </row>
    <row r="300" spans="46:53" x14ac:dyDescent="0.25">
      <c r="AT300" s="74"/>
      <c r="AU300" s="74"/>
      <c r="AZ300" s="74"/>
      <c r="BA300" s="74"/>
    </row>
    <row r="301" spans="46:53" x14ac:dyDescent="0.25">
      <c r="AT301" s="74"/>
      <c r="AU301" s="74"/>
      <c r="AZ301" s="74"/>
      <c r="BA301" s="74"/>
    </row>
    <row r="302" spans="46:53" x14ac:dyDescent="0.25">
      <c r="AT302" s="74"/>
      <c r="AU302" s="74"/>
      <c r="AZ302" s="74"/>
      <c r="BA302" s="74"/>
    </row>
    <row r="303" spans="46:53" x14ac:dyDescent="0.25">
      <c r="AT303" s="74"/>
      <c r="AU303" s="74"/>
      <c r="AZ303" s="74"/>
      <c r="BA303" s="74"/>
    </row>
    <row r="304" spans="46:53" x14ac:dyDescent="0.25">
      <c r="AT304" s="74"/>
      <c r="AU304" s="74"/>
      <c r="AZ304" s="74"/>
      <c r="BA304" s="74"/>
    </row>
    <row r="305" spans="46:53" x14ac:dyDescent="0.25">
      <c r="AT305" s="74"/>
      <c r="AU305" s="74"/>
      <c r="AZ305" s="74"/>
      <c r="BA305" s="74"/>
    </row>
    <row r="306" spans="46:53" x14ac:dyDescent="0.25">
      <c r="AT306" s="74"/>
      <c r="AU306" s="74"/>
      <c r="AZ306" s="74"/>
      <c r="BA306" s="74"/>
    </row>
    <row r="307" spans="46:53" x14ac:dyDescent="0.25">
      <c r="AT307" s="74"/>
      <c r="AU307" s="74"/>
      <c r="AZ307" s="74"/>
      <c r="BA307" s="74"/>
    </row>
    <row r="308" spans="46:53" x14ac:dyDescent="0.25">
      <c r="AT308" s="74"/>
      <c r="AU308" s="74"/>
      <c r="AZ308" s="74"/>
      <c r="BA308" s="74"/>
    </row>
    <row r="309" spans="46:53" x14ac:dyDescent="0.25">
      <c r="AT309" s="74"/>
      <c r="AU309" s="74"/>
      <c r="AZ309" s="74"/>
      <c r="BA309" s="74"/>
    </row>
    <row r="310" spans="46:53" x14ac:dyDescent="0.25">
      <c r="AT310" s="74"/>
      <c r="AU310" s="74"/>
      <c r="AZ310" s="74"/>
      <c r="BA310" s="74"/>
    </row>
    <row r="311" spans="46:53" x14ac:dyDescent="0.25">
      <c r="AT311" s="74"/>
      <c r="AU311" s="74"/>
      <c r="AZ311" s="74"/>
      <c r="BA311" s="74"/>
    </row>
    <row r="312" spans="46:53" x14ac:dyDescent="0.25">
      <c r="AT312" s="74"/>
      <c r="AU312" s="74"/>
      <c r="AZ312" s="74"/>
      <c r="BA312" s="74"/>
    </row>
    <row r="313" spans="46:53" x14ac:dyDescent="0.25">
      <c r="AT313" s="74"/>
      <c r="AU313" s="74"/>
      <c r="AZ313" s="74"/>
      <c r="BA313" s="74"/>
    </row>
    <row r="314" spans="46:53" x14ac:dyDescent="0.25">
      <c r="AT314" s="74"/>
      <c r="AU314" s="74"/>
      <c r="AZ314" s="74"/>
      <c r="BA314" s="74"/>
    </row>
    <row r="315" spans="46:53" x14ac:dyDescent="0.25">
      <c r="AT315" s="74"/>
      <c r="AU315" s="74"/>
      <c r="AZ315" s="74"/>
      <c r="BA315" s="74"/>
    </row>
    <row r="316" spans="46:53" x14ac:dyDescent="0.25">
      <c r="AT316" s="74"/>
      <c r="AU316" s="74"/>
      <c r="AZ316" s="74"/>
      <c r="BA316" s="74"/>
    </row>
    <row r="317" spans="46:53" x14ac:dyDescent="0.25">
      <c r="AT317" s="74"/>
      <c r="AU317" s="74"/>
      <c r="AZ317" s="74"/>
      <c r="BA317" s="74"/>
    </row>
    <row r="318" spans="46:53" x14ac:dyDescent="0.25">
      <c r="AT318" s="74"/>
      <c r="AU318" s="74"/>
      <c r="AZ318" s="74"/>
      <c r="BA318" s="74"/>
    </row>
    <row r="319" spans="46:53" x14ac:dyDescent="0.25">
      <c r="AT319" s="74"/>
      <c r="AU319" s="74"/>
      <c r="AZ319" s="74"/>
      <c r="BA319" s="74"/>
    </row>
    <row r="320" spans="46:53" x14ac:dyDescent="0.25">
      <c r="AT320" s="74"/>
      <c r="AU320" s="74"/>
      <c r="AZ320" s="74"/>
      <c r="BA320" s="74"/>
    </row>
    <row r="321" spans="46:53" x14ac:dyDescent="0.25">
      <c r="AT321" s="74"/>
      <c r="AU321" s="74"/>
      <c r="AZ321" s="74"/>
      <c r="BA321" s="74"/>
    </row>
    <row r="322" spans="46:53" x14ac:dyDescent="0.25">
      <c r="AT322" s="74"/>
      <c r="AU322" s="74"/>
      <c r="AZ322" s="74"/>
      <c r="BA322" s="74"/>
    </row>
    <row r="323" spans="46:53" x14ac:dyDescent="0.25">
      <c r="AT323" s="74"/>
      <c r="AU323" s="74"/>
      <c r="AZ323" s="74"/>
      <c r="BA323" s="74"/>
    </row>
    <row r="324" spans="46:53" x14ac:dyDescent="0.25">
      <c r="AT324" s="74"/>
      <c r="AU324" s="74"/>
      <c r="AZ324" s="74"/>
      <c r="BA324" s="74"/>
    </row>
    <row r="325" spans="46:53" x14ac:dyDescent="0.25">
      <c r="AT325" s="74"/>
      <c r="AU325" s="74"/>
      <c r="AZ325" s="74"/>
      <c r="BA325" s="74"/>
    </row>
    <row r="326" spans="46:53" x14ac:dyDescent="0.25">
      <c r="AT326" s="74"/>
      <c r="AU326" s="74"/>
      <c r="AZ326" s="74"/>
      <c r="BA326" s="74"/>
    </row>
    <row r="327" spans="46:53" x14ac:dyDescent="0.25">
      <c r="AT327" s="74"/>
      <c r="AU327" s="74"/>
      <c r="AZ327" s="74"/>
      <c r="BA327" s="74"/>
    </row>
    <row r="328" spans="46:53" x14ac:dyDescent="0.25">
      <c r="AT328" s="74"/>
      <c r="AU328" s="74"/>
      <c r="AZ328" s="74"/>
      <c r="BA328" s="74"/>
    </row>
    <row r="329" spans="46:53" x14ac:dyDescent="0.25">
      <c r="AT329" s="74"/>
      <c r="AU329" s="74"/>
      <c r="AZ329" s="74"/>
      <c r="BA329" s="74"/>
    </row>
    <row r="330" spans="46:53" x14ac:dyDescent="0.25">
      <c r="AT330" s="74"/>
      <c r="AU330" s="74"/>
      <c r="AZ330" s="74"/>
      <c r="BA330" s="74"/>
    </row>
    <row r="331" spans="46:53" x14ac:dyDescent="0.25">
      <c r="AT331" s="74"/>
      <c r="AU331" s="74"/>
      <c r="AZ331" s="74"/>
      <c r="BA331" s="74"/>
    </row>
    <row r="332" spans="46:53" x14ac:dyDescent="0.25">
      <c r="AT332" s="81"/>
      <c r="AU332" s="81"/>
    </row>
    <row r="333" spans="46:53" x14ac:dyDescent="0.25">
      <c r="AT333" s="81"/>
      <c r="AU333" s="81"/>
      <c r="AZ333" s="81"/>
      <c r="BA333" s="81"/>
    </row>
    <row r="334" spans="46:53" x14ac:dyDescent="0.25">
      <c r="AZ334" s="81"/>
      <c r="BA334" s="81"/>
    </row>
    <row r="335" spans="46:53" x14ac:dyDescent="0.25">
      <c r="AZ335" s="81"/>
      <c r="BA335" s="81"/>
    </row>
    <row r="336" spans="46:53" x14ac:dyDescent="0.25">
      <c r="AZ336" s="81"/>
      <c r="BA336" s="81"/>
    </row>
    <row r="337" spans="46:53" x14ac:dyDescent="0.25">
      <c r="AZ337" s="81"/>
      <c r="BA337" s="81"/>
    </row>
    <row r="338" spans="46:53" x14ac:dyDescent="0.25">
      <c r="AZ338" s="81"/>
      <c r="BA338" s="81"/>
    </row>
    <row r="339" spans="46:53" x14ac:dyDescent="0.25">
      <c r="AZ339" s="81"/>
      <c r="BA339" s="81"/>
    </row>
    <row r="340" spans="46:53" x14ac:dyDescent="0.25">
      <c r="AZ340" s="81"/>
      <c r="BA340" s="81"/>
    </row>
    <row r="341" spans="46:53" x14ac:dyDescent="0.25">
      <c r="AZ341" s="91"/>
      <c r="BA341" s="91"/>
    </row>
    <row r="342" spans="46:53" x14ac:dyDescent="0.25">
      <c r="AZ342" s="97"/>
      <c r="BA342" s="97"/>
    </row>
    <row r="343" spans="46:53" x14ac:dyDescent="0.25">
      <c r="AZ343" s="97"/>
      <c r="BA343" s="97"/>
    </row>
    <row r="344" spans="46:53" x14ac:dyDescent="0.25">
      <c r="AZ344" s="81"/>
      <c r="BA344" s="81"/>
    </row>
    <row r="345" spans="46:53" x14ac:dyDescent="0.25">
      <c r="AZ345" s="81"/>
      <c r="BA345" s="81"/>
    </row>
    <row r="348" spans="46:53" x14ac:dyDescent="0.25">
      <c r="AT348" s="113"/>
    </row>
    <row r="371" spans="46:53" x14ac:dyDescent="0.25">
      <c r="AZ371" s="74"/>
      <c r="BA371" s="74"/>
    </row>
    <row r="372" spans="46:53" x14ac:dyDescent="0.25">
      <c r="AZ372" s="74"/>
      <c r="BA372" s="74"/>
    </row>
    <row r="373" spans="46:53" x14ac:dyDescent="0.25">
      <c r="AZ373" s="74"/>
      <c r="BA373" s="74"/>
    </row>
    <row r="374" spans="46:53" x14ac:dyDescent="0.25">
      <c r="AZ374" s="74"/>
      <c r="BA374" s="74"/>
    </row>
    <row r="375" spans="46:53" x14ac:dyDescent="0.25">
      <c r="AZ375" s="74"/>
      <c r="BA375" s="74"/>
    </row>
    <row r="376" spans="46:53" x14ac:dyDescent="0.25">
      <c r="AZ376" s="74"/>
      <c r="BA376" s="74"/>
    </row>
    <row r="377" spans="46:53" x14ac:dyDescent="0.25">
      <c r="AZ377" s="74"/>
      <c r="BA377" s="74"/>
    </row>
    <row r="378" spans="46:53" x14ac:dyDescent="0.25">
      <c r="AZ378" s="74"/>
      <c r="BA378" s="74"/>
    </row>
    <row r="379" spans="46:53" x14ac:dyDescent="0.25">
      <c r="AZ379" s="74"/>
      <c r="BA379" s="74"/>
    </row>
    <row r="380" spans="46:53" x14ac:dyDescent="0.25">
      <c r="AZ380" s="74"/>
      <c r="BA380" s="74"/>
    </row>
    <row r="381" spans="46:53" x14ac:dyDescent="0.25">
      <c r="AZ381" s="74"/>
      <c r="BA381" s="74"/>
    </row>
    <row r="382" spans="46:53" x14ac:dyDescent="0.25">
      <c r="AZ382" s="74"/>
      <c r="BA382" s="74"/>
    </row>
    <row r="383" spans="46:53" x14ac:dyDescent="0.25">
      <c r="AZ383" s="74"/>
      <c r="BA383" s="74"/>
    </row>
    <row r="384" spans="46:53" x14ac:dyDescent="0.25">
      <c r="AT384" s="113"/>
      <c r="AZ384" s="74"/>
      <c r="BA384" s="74"/>
    </row>
    <row r="385" spans="52:53" x14ac:dyDescent="0.25">
      <c r="AZ385" s="74"/>
      <c r="BA385" s="74"/>
    </row>
    <row r="386" spans="52:53" x14ac:dyDescent="0.25">
      <c r="AZ386" s="74"/>
      <c r="BA386" s="74"/>
    </row>
    <row r="387" spans="52:53" x14ac:dyDescent="0.25">
      <c r="AZ387" s="74"/>
      <c r="BA387" s="74"/>
    </row>
    <row r="388" spans="52:53" x14ac:dyDescent="0.25">
      <c r="AZ388" s="74"/>
      <c r="BA388" s="74"/>
    </row>
    <row r="389" spans="52:53" x14ac:dyDescent="0.25">
      <c r="AZ389" s="74"/>
      <c r="BA389" s="74"/>
    </row>
    <row r="390" spans="52:53" x14ac:dyDescent="0.25">
      <c r="AZ390" s="74"/>
      <c r="BA390" s="74"/>
    </row>
    <row r="391" spans="52:53" x14ac:dyDescent="0.25">
      <c r="AZ391" s="74"/>
      <c r="BA391" s="74"/>
    </row>
    <row r="392" spans="52:53" x14ac:dyDescent="0.25">
      <c r="AZ392" s="74"/>
      <c r="BA392" s="74"/>
    </row>
    <row r="393" spans="52:53" x14ac:dyDescent="0.25">
      <c r="AZ393" s="74"/>
      <c r="BA393" s="74"/>
    </row>
    <row r="394" spans="52:53" x14ac:dyDescent="0.25">
      <c r="AZ394" s="74"/>
      <c r="BA394" s="74"/>
    </row>
    <row r="395" spans="52:53" x14ac:dyDescent="0.25">
      <c r="AZ395" s="74"/>
      <c r="BA395" s="74"/>
    </row>
    <row r="396" spans="52:53" x14ac:dyDescent="0.25">
      <c r="AZ396" s="74"/>
      <c r="BA396" s="74"/>
    </row>
    <row r="397" spans="52:53" x14ac:dyDescent="0.25">
      <c r="AZ397" s="74"/>
      <c r="BA397" s="74"/>
    </row>
    <row r="398" spans="52:53" x14ac:dyDescent="0.25">
      <c r="AZ398" s="74"/>
      <c r="BA398" s="74"/>
    </row>
    <row r="399" spans="52:53" x14ac:dyDescent="0.25">
      <c r="AZ399" s="74"/>
      <c r="BA399" s="74"/>
    </row>
    <row r="400" spans="52:53" x14ac:dyDescent="0.25">
      <c r="AZ400" s="74"/>
      <c r="BA400" s="74"/>
    </row>
    <row r="401" spans="52:53" x14ac:dyDescent="0.25">
      <c r="AZ401" s="74"/>
      <c r="BA401" s="74"/>
    </row>
    <row r="402" spans="52:53" x14ac:dyDescent="0.25">
      <c r="AZ402" s="74"/>
      <c r="BA402" s="74"/>
    </row>
    <row r="403" spans="52:53" x14ac:dyDescent="0.25">
      <c r="AZ403" s="74"/>
      <c r="BA403" s="74"/>
    </row>
    <row r="404" spans="52:53" x14ac:dyDescent="0.25">
      <c r="AZ404" s="74"/>
      <c r="BA404" s="74"/>
    </row>
    <row r="405" spans="52:53" x14ac:dyDescent="0.25">
      <c r="AZ405" s="74"/>
      <c r="BA405" s="74"/>
    </row>
    <row r="406" spans="52:53" x14ac:dyDescent="0.25">
      <c r="AZ406" s="74"/>
      <c r="BA406" s="74"/>
    </row>
    <row r="407" spans="52:53" x14ac:dyDescent="0.25">
      <c r="AZ407" s="74"/>
      <c r="BA407" s="74"/>
    </row>
    <row r="408" spans="52:53" x14ac:dyDescent="0.25">
      <c r="AZ408" s="74"/>
      <c r="BA408" s="74"/>
    </row>
    <row r="409" spans="52:53" x14ac:dyDescent="0.25">
      <c r="AZ409" s="74"/>
      <c r="BA409" s="74"/>
    </row>
    <row r="410" spans="52:53" x14ac:dyDescent="0.25">
      <c r="AZ410" s="74"/>
      <c r="BA410" s="74"/>
    </row>
    <row r="411" spans="52:53" x14ac:dyDescent="0.25">
      <c r="AZ411" s="74"/>
      <c r="BA411" s="74"/>
    </row>
    <row r="412" spans="52:53" x14ac:dyDescent="0.25">
      <c r="AZ412" s="74"/>
      <c r="BA412" s="74"/>
    </row>
    <row r="413" spans="52:53" x14ac:dyDescent="0.25">
      <c r="AZ413" s="74"/>
      <c r="BA413" s="74"/>
    </row>
    <row r="414" spans="52:53" x14ac:dyDescent="0.25">
      <c r="AZ414" s="74"/>
      <c r="BA414" s="74"/>
    </row>
    <row r="415" spans="52:53" x14ac:dyDescent="0.25">
      <c r="AZ415" s="74"/>
      <c r="BA415" s="74"/>
    </row>
    <row r="416" spans="52:53" x14ac:dyDescent="0.25">
      <c r="AZ416" s="74"/>
      <c r="BA416" s="74"/>
    </row>
    <row r="418" spans="52:53" x14ac:dyDescent="0.25">
      <c r="AZ418" s="81"/>
      <c r="BA418" s="81"/>
    </row>
    <row r="419" spans="52:53" x14ac:dyDescent="0.25">
      <c r="AZ419" s="81"/>
      <c r="BA419" s="81"/>
    </row>
    <row r="420" spans="52:53" x14ac:dyDescent="0.25">
      <c r="AZ420" s="81"/>
      <c r="BA420" s="81"/>
    </row>
    <row r="421" spans="52:53" x14ac:dyDescent="0.25">
      <c r="AZ421" s="81"/>
      <c r="BA421" s="81"/>
    </row>
    <row r="422" spans="52:53" x14ac:dyDescent="0.25">
      <c r="AZ422" s="81"/>
      <c r="BA422" s="81"/>
    </row>
    <row r="423" spans="52:53" x14ac:dyDescent="0.25">
      <c r="AZ423" s="81"/>
      <c r="BA423" s="81"/>
    </row>
    <row r="424" spans="52:53" x14ac:dyDescent="0.25">
      <c r="AZ424" s="81"/>
      <c r="BA424" s="81"/>
    </row>
    <row r="425" spans="52:53" x14ac:dyDescent="0.25">
      <c r="AZ425" s="81"/>
      <c r="BA425" s="81"/>
    </row>
    <row r="426" spans="52:53" x14ac:dyDescent="0.25">
      <c r="AZ426" s="91"/>
      <c r="BA426" s="91"/>
    </row>
    <row r="427" spans="52:53" x14ac:dyDescent="0.25">
      <c r="AZ427" s="97"/>
      <c r="BA427" s="97"/>
    </row>
    <row r="428" spans="52:53" x14ac:dyDescent="0.25">
      <c r="AZ428" s="97"/>
      <c r="BA428" s="97"/>
    </row>
    <row r="429" spans="52:53" x14ac:dyDescent="0.25">
      <c r="AZ429" s="81"/>
      <c r="BA429" s="81"/>
    </row>
    <row r="430" spans="52:53" x14ac:dyDescent="0.25">
      <c r="AZ430" s="81"/>
      <c r="BA430" s="81"/>
    </row>
  </sheetData>
  <sheetProtection sheet="1" formatCells="0" selectLockedCells="1"/>
  <mergeCells count="431">
    <mergeCell ref="U233:W233"/>
    <mergeCell ref="A234:N234"/>
    <mergeCell ref="W234:AH234"/>
    <mergeCell ref="U221:W221"/>
    <mergeCell ref="U222:W222"/>
    <mergeCell ref="K223:N225"/>
    <mergeCell ref="AG223:AH225"/>
    <mergeCell ref="U231:W231"/>
    <mergeCell ref="U232:W232"/>
    <mergeCell ref="AD217:AF217"/>
    <mergeCell ref="K218:N218"/>
    <mergeCell ref="U218:W218"/>
    <mergeCell ref="AG218:AH218"/>
    <mergeCell ref="U219:W219"/>
    <mergeCell ref="U220:W220"/>
    <mergeCell ref="B217:D217"/>
    <mergeCell ref="E217:G217"/>
    <mergeCell ref="H217:J217"/>
    <mergeCell ref="U217:W217"/>
    <mergeCell ref="X217:Z217"/>
    <mergeCell ref="AA217:AC217"/>
    <mergeCell ref="AA215:AC215"/>
    <mergeCell ref="AD215:AF215"/>
    <mergeCell ref="AG215:AH215"/>
    <mergeCell ref="B216:D216"/>
    <mergeCell ref="E216:G216"/>
    <mergeCell ref="H216:J216"/>
    <mergeCell ref="U216:W216"/>
    <mergeCell ref="X216:Z216"/>
    <mergeCell ref="AA216:AC216"/>
    <mergeCell ref="AD216:AF216"/>
    <mergeCell ref="B213:J213"/>
    <mergeCell ref="K213:Q213"/>
    <mergeCell ref="V213:X213"/>
    <mergeCell ref="Y213:AG213"/>
    <mergeCell ref="AH213:AN213"/>
    <mergeCell ref="B215:D215"/>
    <mergeCell ref="E215:G215"/>
    <mergeCell ref="H215:J215"/>
    <mergeCell ref="L215:N215"/>
    <mergeCell ref="X215:Z215"/>
    <mergeCell ref="B211:J211"/>
    <mergeCell ref="K211:Q211"/>
    <mergeCell ref="V211:X211"/>
    <mergeCell ref="Y211:AG211"/>
    <mergeCell ref="AH211:AN211"/>
    <mergeCell ref="B212:J212"/>
    <mergeCell ref="K212:Q212"/>
    <mergeCell ref="V212:X212"/>
    <mergeCell ref="Y212:AG212"/>
    <mergeCell ref="AH212:AN212"/>
    <mergeCell ref="B209:J209"/>
    <mergeCell ref="K209:Q209"/>
    <mergeCell ref="V209:X209"/>
    <mergeCell ref="Y209:AG209"/>
    <mergeCell ref="AH209:AN209"/>
    <mergeCell ref="B210:J210"/>
    <mergeCell ref="K210:Q210"/>
    <mergeCell ref="V210:X210"/>
    <mergeCell ref="Y210:AG210"/>
    <mergeCell ref="AH210:AN210"/>
    <mergeCell ref="A204:E204"/>
    <mergeCell ref="V204:AB204"/>
    <mergeCell ref="A205:E205"/>
    <mergeCell ref="V205:AB205"/>
    <mergeCell ref="A208:J208"/>
    <mergeCell ref="V208:AG208"/>
    <mergeCell ref="AC202:AF202"/>
    <mergeCell ref="AG202:AI202"/>
    <mergeCell ref="A203:E203"/>
    <mergeCell ref="F203:N203"/>
    <mergeCell ref="U203:AA203"/>
    <mergeCell ref="AC203:AI203"/>
    <mergeCell ref="A200:E200"/>
    <mergeCell ref="J200:Q200"/>
    <mergeCell ref="V200:AB200"/>
    <mergeCell ref="A202:D202"/>
    <mergeCell ref="F202:I202"/>
    <mergeCell ref="J202:N202"/>
    <mergeCell ref="U202:AB202"/>
    <mergeCell ref="J198:Q198"/>
    <mergeCell ref="AG198:AK198"/>
    <mergeCell ref="A199:E199"/>
    <mergeCell ref="F199:I199"/>
    <mergeCell ref="J199:Q199"/>
    <mergeCell ref="V199:AB199"/>
    <mergeCell ref="AC199:AF199"/>
    <mergeCell ref="AG199:AK199"/>
    <mergeCell ref="A195:E195"/>
    <mergeCell ref="V195:AB195"/>
    <mergeCell ref="A196:E196"/>
    <mergeCell ref="V196:AB196"/>
    <mergeCell ref="F197:I197"/>
    <mergeCell ref="AC197:AF197"/>
    <mergeCell ref="A193:E193"/>
    <mergeCell ref="F193:N193"/>
    <mergeCell ref="U193:AA193"/>
    <mergeCell ref="AC193:AI193"/>
    <mergeCell ref="A194:E194"/>
    <mergeCell ref="F194:I194"/>
    <mergeCell ref="J194:N194"/>
    <mergeCell ref="U194:AA194"/>
    <mergeCell ref="AC194:AF194"/>
    <mergeCell ref="AG194:AI194"/>
    <mergeCell ref="A188:P188"/>
    <mergeCell ref="S188:AG188"/>
    <mergeCell ref="A190:E190"/>
    <mergeCell ref="V190:AB190"/>
    <mergeCell ref="A191:E191"/>
    <mergeCell ref="V191:AB191"/>
    <mergeCell ref="AL180:AO180"/>
    <mergeCell ref="A182:AQ182"/>
    <mergeCell ref="A183:AR183"/>
    <mergeCell ref="A184:AR184"/>
    <mergeCell ref="A185:AR185"/>
    <mergeCell ref="A186:L186"/>
    <mergeCell ref="AB179:AE179"/>
    <mergeCell ref="AF179:AK179"/>
    <mergeCell ref="AL179:AO179"/>
    <mergeCell ref="B180:G180"/>
    <mergeCell ref="H180:K180"/>
    <mergeCell ref="L180:Q180"/>
    <mergeCell ref="R180:U180"/>
    <mergeCell ref="V180:AA180"/>
    <mergeCell ref="AB180:AE180"/>
    <mergeCell ref="AF180:AK180"/>
    <mergeCell ref="R178:U178"/>
    <mergeCell ref="V178:AA178"/>
    <mergeCell ref="AB178:AE178"/>
    <mergeCell ref="AF178:AK178"/>
    <mergeCell ref="AL178:AO178"/>
    <mergeCell ref="B179:G179"/>
    <mergeCell ref="H179:K179"/>
    <mergeCell ref="L179:Q179"/>
    <mergeCell ref="R179:U179"/>
    <mergeCell ref="V179:AA179"/>
    <mergeCell ref="A175:AR175"/>
    <mergeCell ref="A176:AQ176"/>
    <mergeCell ref="A177:A178"/>
    <mergeCell ref="B177:K177"/>
    <mergeCell ref="L177:U177"/>
    <mergeCell ref="V177:AE177"/>
    <mergeCell ref="AF177:AO177"/>
    <mergeCell ref="B178:G178"/>
    <mergeCell ref="H178:K178"/>
    <mergeCell ref="L178:Q178"/>
    <mergeCell ref="X108:Z108"/>
    <mergeCell ref="AA108:AC108"/>
    <mergeCell ref="AD108:AF108"/>
    <mergeCell ref="AH142:AL142"/>
    <mergeCell ref="A174:AM174"/>
    <mergeCell ref="AN174:AQ174"/>
    <mergeCell ref="X107:Z107"/>
    <mergeCell ref="AA107:AC107"/>
    <mergeCell ref="AD107:AF107"/>
    <mergeCell ref="B108:D108"/>
    <mergeCell ref="E108:G108"/>
    <mergeCell ref="H108:J108"/>
    <mergeCell ref="L108:N108"/>
    <mergeCell ref="O108:Q108"/>
    <mergeCell ref="R108:T108"/>
    <mergeCell ref="U108:W108"/>
    <mergeCell ref="X106:Z106"/>
    <mergeCell ref="AA106:AC106"/>
    <mergeCell ref="AD106:AF106"/>
    <mergeCell ref="B107:D107"/>
    <mergeCell ref="E107:G107"/>
    <mergeCell ref="H107:J107"/>
    <mergeCell ref="L107:N107"/>
    <mergeCell ref="O107:Q107"/>
    <mergeCell ref="R107:T107"/>
    <mergeCell ref="U107:W107"/>
    <mergeCell ref="X105:Z105"/>
    <mergeCell ref="AA105:AC105"/>
    <mergeCell ref="AD105:AF105"/>
    <mergeCell ref="B106:D106"/>
    <mergeCell ref="E106:G106"/>
    <mergeCell ref="H106:J106"/>
    <mergeCell ref="L106:N106"/>
    <mergeCell ref="O106:Q106"/>
    <mergeCell ref="R106:T106"/>
    <mergeCell ref="U106:W106"/>
    <mergeCell ref="AA104:AC104"/>
    <mergeCell ref="AD104:AF104"/>
    <mergeCell ref="AG104:AR107"/>
    <mergeCell ref="B105:D105"/>
    <mergeCell ref="E105:G105"/>
    <mergeCell ref="H105:J105"/>
    <mergeCell ref="L105:N105"/>
    <mergeCell ref="O105:Q105"/>
    <mergeCell ref="R105:T105"/>
    <mergeCell ref="U105:W105"/>
    <mergeCell ref="B103:AJ103"/>
    <mergeCell ref="B104:D104"/>
    <mergeCell ref="E104:G104"/>
    <mergeCell ref="H104:J104"/>
    <mergeCell ref="K104:K114"/>
    <mergeCell ref="L104:N104"/>
    <mergeCell ref="O104:Q104"/>
    <mergeCell ref="R104:T104"/>
    <mergeCell ref="U104:W104"/>
    <mergeCell ref="X104:Z104"/>
    <mergeCell ref="AA101:AC102"/>
    <mergeCell ref="AD101:AF102"/>
    <mergeCell ref="AG101:AG102"/>
    <mergeCell ref="AH101:AH102"/>
    <mergeCell ref="AI101:AJ102"/>
    <mergeCell ref="B102:D102"/>
    <mergeCell ref="E102:L102"/>
    <mergeCell ref="A101:A102"/>
    <mergeCell ref="B101:D101"/>
    <mergeCell ref="E101:L101"/>
    <mergeCell ref="M101:Q102"/>
    <mergeCell ref="S101:W102"/>
    <mergeCell ref="X101:Z102"/>
    <mergeCell ref="AD99:AF100"/>
    <mergeCell ref="AG99:AG100"/>
    <mergeCell ref="AH99:AH100"/>
    <mergeCell ref="AI99:AJ100"/>
    <mergeCell ref="B100:D100"/>
    <mergeCell ref="E100:L100"/>
    <mergeCell ref="AI97:AJ98"/>
    <mergeCell ref="B98:D98"/>
    <mergeCell ref="E98:L98"/>
    <mergeCell ref="A99:A100"/>
    <mergeCell ref="B99:D99"/>
    <mergeCell ref="E99:L99"/>
    <mergeCell ref="M99:Q100"/>
    <mergeCell ref="S99:W100"/>
    <mergeCell ref="X99:Z100"/>
    <mergeCell ref="AA99:AC100"/>
    <mergeCell ref="S97:W98"/>
    <mergeCell ref="X97:Z98"/>
    <mergeCell ref="AA97:AC98"/>
    <mergeCell ref="AD97:AF98"/>
    <mergeCell ref="AG97:AG98"/>
    <mergeCell ref="AH97:AH98"/>
    <mergeCell ref="B96:D96"/>
    <mergeCell ref="E96:L96"/>
    <mergeCell ref="A97:A98"/>
    <mergeCell ref="B97:D97"/>
    <mergeCell ref="E97:L97"/>
    <mergeCell ref="M97:Q98"/>
    <mergeCell ref="X95:Z96"/>
    <mergeCell ref="AA95:AC96"/>
    <mergeCell ref="AD95:AF96"/>
    <mergeCell ref="AG95:AG96"/>
    <mergeCell ref="AH95:AH96"/>
    <mergeCell ref="AI95:AJ96"/>
    <mergeCell ref="AG93:AG94"/>
    <mergeCell ref="AH93:AH94"/>
    <mergeCell ref="AI93:AJ94"/>
    <mergeCell ref="B94:D94"/>
    <mergeCell ref="E94:L94"/>
    <mergeCell ref="A95:A96"/>
    <mergeCell ref="B95:D95"/>
    <mergeCell ref="E95:L95"/>
    <mergeCell ref="M95:Q96"/>
    <mergeCell ref="S95:W96"/>
    <mergeCell ref="AD92:AF92"/>
    <mergeCell ref="AI92:AJ92"/>
    <mergeCell ref="A93:A94"/>
    <mergeCell ref="B93:D93"/>
    <mergeCell ref="E93:L93"/>
    <mergeCell ref="M93:Q94"/>
    <mergeCell ref="S93:W94"/>
    <mergeCell ref="X93:Z94"/>
    <mergeCell ref="AA93:AC94"/>
    <mergeCell ref="AD93:AF94"/>
    <mergeCell ref="A90:AR90"/>
    <mergeCell ref="C91:H91"/>
    <mergeCell ref="I91:J91"/>
    <mergeCell ref="K91:AJ91"/>
    <mergeCell ref="B92:L92"/>
    <mergeCell ref="M92:Q92"/>
    <mergeCell ref="R92:R102"/>
    <mergeCell ref="S92:W92"/>
    <mergeCell ref="X92:Z92"/>
    <mergeCell ref="AA92:AC92"/>
    <mergeCell ref="X23:Z23"/>
    <mergeCell ref="AA23:AC23"/>
    <mergeCell ref="AD23:AF23"/>
    <mergeCell ref="AH57:AL57"/>
    <mergeCell ref="A89:AM89"/>
    <mergeCell ref="AN89:AQ89"/>
    <mergeCell ref="X22:Z22"/>
    <mergeCell ref="AA22:AC22"/>
    <mergeCell ref="AD22:AF22"/>
    <mergeCell ref="B23:D23"/>
    <mergeCell ref="E23:G23"/>
    <mergeCell ref="H23:J23"/>
    <mergeCell ref="L23:N23"/>
    <mergeCell ref="O23:Q23"/>
    <mergeCell ref="R23:T23"/>
    <mergeCell ref="U23:W23"/>
    <mergeCell ref="X21:Z21"/>
    <mergeCell ref="AA21:AC21"/>
    <mergeCell ref="AD21:AF21"/>
    <mergeCell ref="B22:D22"/>
    <mergeCell ref="E22:G22"/>
    <mergeCell ref="H22:J22"/>
    <mergeCell ref="L22:N22"/>
    <mergeCell ref="O22:Q22"/>
    <mergeCell ref="R22:T22"/>
    <mergeCell ref="U22:W22"/>
    <mergeCell ref="X20:Z20"/>
    <mergeCell ref="AA20:AC20"/>
    <mergeCell ref="AD20:AF20"/>
    <mergeCell ref="B21:D21"/>
    <mergeCell ref="E21:G21"/>
    <mergeCell ref="H21:J21"/>
    <mergeCell ref="L21:N21"/>
    <mergeCell ref="O21:Q21"/>
    <mergeCell ref="R21:T21"/>
    <mergeCell ref="U21:W21"/>
    <mergeCell ref="AA19:AC19"/>
    <mergeCell ref="AD19:AF19"/>
    <mergeCell ref="AG19:AR22"/>
    <mergeCell ref="B20:D20"/>
    <mergeCell ref="E20:G20"/>
    <mergeCell ref="H20:J20"/>
    <mergeCell ref="L20:N20"/>
    <mergeCell ref="O20:Q20"/>
    <mergeCell ref="R20:T20"/>
    <mergeCell ref="U20:W20"/>
    <mergeCell ref="B18:AJ18"/>
    <mergeCell ref="B19:D19"/>
    <mergeCell ref="E19:G19"/>
    <mergeCell ref="H19:J19"/>
    <mergeCell ref="K19:K29"/>
    <mergeCell ref="L19:N19"/>
    <mergeCell ref="O19:Q19"/>
    <mergeCell ref="R19:T19"/>
    <mergeCell ref="U19:W19"/>
    <mergeCell ref="X19:Z19"/>
    <mergeCell ref="AA16:AC17"/>
    <mergeCell ref="AD16:AF17"/>
    <mergeCell ref="AG16:AG17"/>
    <mergeCell ref="AH16:AH17"/>
    <mergeCell ref="AI16:AJ17"/>
    <mergeCell ref="B17:D17"/>
    <mergeCell ref="E17:L17"/>
    <mergeCell ref="AH14:AH15"/>
    <mergeCell ref="AI14:AJ15"/>
    <mergeCell ref="B15:D15"/>
    <mergeCell ref="E15:L15"/>
    <mergeCell ref="A16:A17"/>
    <mergeCell ref="B16:D16"/>
    <mergeCell ref="E16:L16"/>
    <mergeCell ref="M16:Q17"/>
    <mergeCell ref="S16:W17"/>
    <mergeCell ref="X16:Z17"/>
    <mergeCell ref="AT13:AY14"/>
    <mergeCell ref="A14:A15"/>
    <mergeCell ref="B14:D14"/>
    <mergeCell ref="E14:L14"/>
    <mergeCell ref="M14:Q15"/>
    <mergeCell ref="S14:W15"/>
    <mergeCell ref="X14:Z15"/>
    <mergeCell ref="AA14:AC15"/>
    <mergeCell ref="AD14:AF15"/>
    <mergeCell ref="AG14:AG15"/>
    <mergeCell ref="AA12:AC13"/>
    <mergeCell ref="AD12:AF13"/>
    <mergeCell ref="AG12:AG13"/>
    <mergeCell ref="AH12:AH13"/>
    <mergeCell ref="AI12:AJ13"/>
    <mergeCell ref="B13:D13"/>
    <mergeCell ref="E13:L13"/>
    <mergeCell ref="A12:A13"/>
    <mergeCell ref="B12:D12"/>
    <mergeCell ref="E12:L12"/>
    <mergeCell ref="M12:Q13"/>
    <mergeCell ref="S12:W13"/>
    <mergeCell ref="X12:Z13"/>
    <mergeCell ref="AA10:AC11"/>
    <mergeCell ref="AD10:AF11"/>
    <mergeCell ref="AG10:AG11"/>
    <mergeCell ref="AH10:AH11"/>
    <mergeCell ref="AI10:AJ11"/>
    <mergeCell ref="B11:D11"/>
    <mergeCell ref="E11:L11"/>
    <mergeCell ref="AH8:AH9"/>
    <mergeCell ref="AI8:AJ9"/>
    <mergeCell ref="B9:D9"/>
    <mergeCell ref="E9:L9"/>
    <mergeCell ref="A10:A11"/>
    <mergeCell ref="B10:D10"/>
    <mergeCell ref="E10:L10"/>
    <mergeCell ref="M10:Q11"/>
    <mergeCell ref="S10:W11"/>
    <mergeCell ref="X10:Z11"/>
    <mergeCell ref="AI7:AJ7"/>
    <mergeCell ref="A8:A9"/>
    <mergeCell ref="B8:D8"/>
    <mergeCell ref="E8:L8"/>
    <mergeCell ref="M8:Q9"/>
    <mergeCell ref="S8:W9"/>
    <mergeCell ref="X8:Z9"/>
    <mergeCell ref="AA8:AC9"/>
    <mergeCell ref="AD8:AF9"/>
    <mergeCell ref="AG8:AG9"/>
    <mergeCell ref="C6:H6"/>
    <mergeCell ref="I6:J6"/>
    <mergeCell ref="K6:AJ6"/>
    <mergeCell ref="B7:L7"/>
    <mergeCell ref="M7:Q7"/>
    <mergeCell ref="R7:R17"/>
    <mergeCell ref="S7:W7"/>
    <mergeCell ref="X7:Z7"/>
    <mergeCell ref="AA7:AC7"/>
    <mergeCell ref="AD7:AF7"/>
    <mergeCell ref="AE3:AF3"/>
    <mergeCell ref="H4:N4"/>
    <mergeCell ref="O4:U4"/>
    <mergeCell ref="V4:Z4"/>
    <mergeCell ref="AA4:AF4"/>
    <mergeCell ref="B5:J5"/>
    <mergeCell ref="L5:AF5"/>
    <mergeCell ref="B3:C3"/>
    <mergeCell ref="D3:L3"/>
    <mergeCell ref="M3:P3"/>
    <mergeCell ref="Q3:U3"/>
    <mergeCell ref="V3:AA3"/>
    <mergeCell ref="AC3:AD3"/>
    <mergeCell ref="A1:AF1"/>
    <mergeCell ref="AT1:AW1"/>
    <mergeCell ref="AX1:AY1"/>
    <mergeCell ref="J2:U2"/>
    <mergeCell ref="V2:X2"/>
    <mergeCell ref="Y2:AF2"/>
  </mergeCells>
  <conditionalFormatting sqref="A8 A93">
    <cfRule type="expression" dxfId="1535" priority="1" stopIfTrue="1">
      <formula>IF(AL9&gt;0,0,1)</formula>
    </cfRule>
  </conditionalFormatting>
  <conditionalFormatting sqref="A10:A11 A95:A96">
    <cfRule type="expression" dxfId="1534" priority="2" stopIfTrue="1">
      <formula>IF(AL9&gt;1,0,1)</formula>
    </cfRule>
  </conditionalFormatting>
  <conditionalFormatting sqref="A12:A13 A97:A98">
    <cfRule type="expression" dxfId="1533" priority="3" stopIfTrue="1">
      <formula>IF(AL9&gt;2,0,1)</formula>
    </cfRule>
  </conditionalFormatting>
  <conditionalFormatting sqref="A14:A15 A99:A100">
    <cfRule type="expression" dxfId="1532" priority="4" stopIfTrue="1">
      <formula>IF(AL9&gt;3,0,1)</formula>
    </cfRule>
  </conditionalFormatting>
  <conditionalFormatting sqref="A16:A17 A101:A102">
    <cfRule type="expression" dxfId="1531" priority="5" stopIfTrue="1">
      <formula>IF(AL9&gt;4,0,1)</formula>
    </cfRule>
  </conditionalFormatting>
  <conditionalFormatting sqref="B8 B93">
    <cfRule type="expression" dxfId="1530" priority="6" stopIfTrue="1">
      <formula>IF(AL9&gt;0,0,1)</formula>
    </cfRule>
  </conditionalFormatting>
  <conditionalFormatting sqref="B9 B94">
    <cfRule type="expression" dxfId="1529" priority="7" stopIfTrue="1">
      <formula>IF(AL9&gt;0,0,1)</formula>
    </cfRule>
  </conditionalFormatting>
  <conditionalFormatting sqref="B10 B95">
    <cfRule type="expression" dxfId="1528" priority="8" stopIfTrue="1">
      <formula>IF(AL9&gt;1,0,1)</formula>
    </cfRule>
  </conditionalFormatting>
  <conditionalFormatting sqref="B11:D11 B96:D96">
    <cfRule type="expression" dxfId="1527" priority="9" stopIfTrue="1">
      <formula>IF(AL9&gt;1,0,1)</formula>
    </cfRule>
  </conditionalFormatting>
  <conditionalFormatting sqref="B12:D12 B97:D97">
    <cfRule type="expression" dxfId="1526" priority="10" stopIfTrue="1">
      <formula>IF(AL9&gt;2,0,1)</formula>
    </cfRule>
  </conditionalFormatting>
  <conditionalFormatting sqref="B13:D13 B98:D98">
    <cfRule type="expression" dxfId="1525" priority="11" stopIfTrue="1">
      <formula>IF(AL9&gt;2,0,1)</formula>
    </cfRule>
  </conditionalFormatting>
  <conditionalFormatting sqref="B14:D14 B99:D99">
    <cfRule type="expression" dxfId="1524" priority="12" stopIfTrue="1">
      <formula>IF(AL9&gt;3,0,1)</formula>
    </cfRule>
  </conditionalFormatting>
  <conditionalFormatting sqref="B15:D15 B100:D100">
    <cfRule type="expression" dxfId="1523" priority="13" stopIfTrue="1">
      <formula>IF(AL9&gt;3,0,1)</formula>
    </cfRule>
  </conditionalFormatting>
  <conditionalFormatting sqref="B16:D16 B101:D101">
    <cfRule type="expression" dxfId="1522" priority="14" stopIfTrue="1">
      <formula>IF(AL9&gt;4,0,1)</formula>
    </cfRule>
  </conditionalFormatting>
  <conditionalFormatting sqref="B17:D17 B102:D102">
    <cfRule type="expression" dxfId="1521" priority="15" stopIfTrue="1">
      <formula>IF(AL9&gt;4,0,1)</formula>
    </cfRule>
  </conditionalFormatting>
  <conditionalFormatting sqref="E8 E93">
    <cfRule type="expression" dxfId="1520" priority="16" stopIfTrue="1">
      <formula>IF(AL9&gt;0,0,1)</formula>
    </cfRule>
  </conditionalFormatting>
  <conditionalFormatting sqref="E9 E94">
    <cfRule type="expression" dxfId="1519" priority="17" stopIfTrue="1">
      <formula>IF(AL9&gt;0,0,1)</formula>
    </cfRule>
  </conditionalFormatting>
  <conditionalFormatting sqref="E10 E95">
    <cfRule type="expression" dxfId="1518" priority="18" stopIfTrue="1">
      <formula>IF(AL9&gt;1,0,1)</formula>
    </cfRule>
  </conditionalFormatting>
  <conditionalFormatting sqref="E11 E96">
    <cfRule type="expression" dxfId="1517" priority="19" stopIfTrue="1">
      <formula>IF(AL9&gt;1,0,1)</formula>
    </cfRule>
  </conditionalFormatting>
  <conditionalFormatting sqref="E12 E97">
    <cfRule type="expression" dxfId="1516" priority="20" stopIfTrue="1">
      <formula>IF(AL9&gt;2,0,1)</formula>
    </cfRule>
  </conditionalFormatting>
  <conditionalFormatting sqref="E13 E98">
    <cfRule type="expression" dxfId="1515" priority="21" stopIfTrue="1">
      <formula>IF(AL9&gt;2,0,1)</formula>
    </cfRule>
  </conditionalFormatting>
  <conditionalFormatting sqref="E14 E99">
    <cfRule type="expression" dxfId="1514" priority="22" stopIfTrue="1">
      <formula>IF(AL9&gt;3,0,1)</formula>
    </cfRule>
  </conditionalFormatting>
  <conditionalFormatting sqref="E15 E100">
    <cfRule type="expression" dxfId="1513" priority="23" stopIfTrue="1">
      <formula>IF(AL9&gt;3,0,1)</formula>
    </cfRule>
  </conditionalFormatting>
  <conditionalFormatting sqref="E16 E101">
    <cfRule type="expression" dxfId="1512" priority="24" stopIfTrue="1">
      <formula>IF(AL9&gt;4,0,1)</formula>
    </cfRule>
  </conditionalFormatting>
  <conditionalFormatting sqref="E17 E102">
    <cfRule type="expression" dxfId="1511" priority="25" stopIfTrue="1">
      <formula>IF(AL9&gt;4,0,1)</formula>
    </cfRule>
  </conditionalFormatting>
  <conditionalFormatting sqref="AD8 AD93">
    <cfRule type="expression" dxfId="1510" priority="26" stopIfTrue="1">
      <formula>IF(AL11=1,IF(AL9&gt;0,0,1),1)</formula>
    </cfRule>
  </conditionalFormatting>
  <conditionalFormatting sqref="AD10:AF11 AD95:AF96">
    <cfRule type="expression" dxfId="1509" priority="27" stopIfTrue="1">
      <formula>IF(AL11=1,IF(AL9&gt;1,0,1),1)</formula>
    </cfRule>
  </conditionalFormatting>
  <conditionalFormatting sqref="AD12:AF13 AD97:AF98">
    <cfRule type="expression" dxfId="1508" priority="28" stopIfTrue="1">
      <formula>IF(AL11=1,IF(AL9&gt;2,0,1),1)</formula>
    </cfRule>
  </conditionalFormatting>
  <conditionalFormatting sqref="AD14:AF15 AD99:AF100">
    <cfRule type="expression" dxfId="1507" priority="29" stopIfTrue="1">
      <formula>IF(AL11=1,IF(AL9&gt;3,0,1),1)</formula>
    </cfRule>
  </conditionalFormatting>
  <conditionalFormatting sqref="AD16:AF17 AD101:AF102">
    <cfRule type="expression" dxfId="1506" priority="30" stopIfTrue="1">
      <formula>IF(AL11=1,IF(AL9&gt;4,0,1),1)</formula>
    </cfRule>
  </conditionalFormatting>
  <conditionalFormatting sqref="AI8 AI93">
    <cfRule type="expression" dxfId="1505" priority="31" stopIfTrue="1">
      <formula>IF(AL9&gt;0,0,1)</formula>
    </cfRule>
  </conditionalFormatting>
  <conditionalFormatting sqref="AI10:AJ11 AI95:AJ96">
    <cfRule type="expression" dxfId="1504" priority="32" stopIfTrue="1">
      <formula>IF(AL9&gt;1,0,1)</formula>
    </cfRule>
  </conditionalFormatting>
  <conditionalFormatting sqref="AI12:AJ13 AI97:AJ98">
    <cfRule type="expression" dxfId="1503" priority="33" stopIfTrue="1">
      <formula>IF(AL9&gt;2,0,1)</formula>
    </cfRule>
  </conditionalFormatting>
  <conditionalFormatting sqref="AI14:AJ15 AI99:AJ100">
    <cfRule type="expression" dxfId="1502" priority="34" stopIfTrue="1">
      <formula>IF(AL9&gt;3,0,1)</formula>
    </cfRule>
  </conditionalFormatting>
  <conditionalFormatting sqref="AI16:AJ17 AI101:AJ102">
    <cfRule type="expression" dxfId="1501" priority="35" stopIfTrue="1">
      <formula>IF(AL9&gt;4,0,1)</formula>
    </cfRule>
  </conditionalFormatting>
  <conditionalFormatting sqref="B19:D19 B104:D104">
    <cfRule type="expression" dxfId="1500" priority="36" stopIfTrue="1">
      <formula>IF(AL8&gt;0,0,1)</formula>
    </cfRule>
  </conditionalFormatting>
  <conditionalFormatting sqref="E19:G19 E104:G104">
    <cfRule type="expression" dxfId="1499" priority="37" stopIfTrue="1">
      <formula>IF(AL8&gt;1,0,1)</formula>
    </cfRule>
  </conditionalFormatting>
  <conditionalFormatting sqref="H19:J19 H104:J104">
    <cfRule type="expression" dxfId="1498" priority="38" stopIfTrue="1">
      <formula>IF(AL8&gt;2,0,1)</formula>
    </cfRule>
  </conditionalFormatting>
  <conditionalFormatting sqref="L19:N19 L104:N104">
    <cfRule type="expression" dxfId="1497" priority="39" stopIfTrue="1">
      <formula>IF(AL8&gt;3,0,1)</formula>
    </cfRule>
  </conditionalFormatting>
  <conditionalFormatting sqref="O19:Q19 O104:Q104">
    <cfRule type="expression" dxfId="1496" priority="40" stopIfTrue="1">
      <formula>IF(AL8&gt;4,0,1)</formula>
    </cfRule>
  </conditionalFormatting>
  <conditionalFormatting sqref="R19:T19 R104:T104">
    <cfRule type="expression" dxfId="1495" priority="41" stopIfTrue="1">
      <formula>IF(AL8&gt;5,0,1)</formula>
    </cfRule>
  </conditionalFormatting>
  <conditionalFormatting sqref="U19:W19 U104:W104">
    <cfRule type="expression" dxfId="1494" priority="42" stopIfTrue="1">
      <formula>IF(AL8&gt;6,0,1)</formula>
    </cfRule>
  </conditionalFormatting>
  <conditionalFormatting sqref="X19:Z19 X104:Z104">
    <cfRule type="expression" dxfId="1493" priority="43" stopIfTrue="1">
      <formula>IF(AL8&gt;7,0,1)</formula>
    </cfRule>
  </conditionalFormatting>
  <conditionalFormatting sqref="AA19:AC19 AA104:AC104">
    <cfRule type="expression" dxfId="1492" priority="44" stopIfTrue="1">
      <formula>IF(AL8&gt;8,0,1)</formula>
    </cfRule>
  </conditionalFormatting>
  <conditionalFormatting sqref="AD19:AF19 AD104:AF104">
    <cfRule type="expression" dxfId="1491" priority="45" stopIfTrue="1">
      <formula>IF(AL8&gt;9,0,1)</formula>
    </cfRule>
  </conditionalFormatting>
  <conditionalFormatting sqref="B20:D20 B105:D105">
    <cfRule type="expression" dxfId="1490" priority="46" stopIfTrue="1">
      <formula>IF(AL8&gt;0,0,1)</formula>
    </cfRule>
  </conditionalFormatting>
  <conditionalFormatting sqref="E20:G20 E105:G105">
    <cfRule type="expression" dxfId="1489" priority="47" stopIfTrue="1">
      <formula>IF(AL8&gt;1,0,1)</formula>
    </cfRule>
  </conditionalFormatting>
  <conditionalFormatting sqref="H20:J20 H105:J105">
    <cfRule type="expression" dxfId="1488" priority="48" stopIfTrue="1">
      <formula>IF(AL8&gt;2,0,1)</formula>
    </cfRule>
  </conditionalFormatting>
  <conditionalFormatting sqref="L20:N20 L105:N105">
    <cfRule type="expression" dxfId="1487" priority="49" stopIfTrue="1">
      <formula>IF(AL8&gt;3,0,1)</formula>
    </cfRule>
  </conditionalFormatting>
  <conditionalFormatting sqref="O20:Q20 O105:Q105">
    <cfRule type="expression" dxfId="1486" priority="50" stopIfTrue="1">
      <formula>IF(AL8&gt;4,0,1)</formula>
    </cfRule>
  </conditionalFormatting>
  <conditionalFormatting sqref="R20:T20 R105:T105">
    <cfRule type="expression" dxfId="1485" priority="51" stopIfTrue="1">
      <formula>IF(AL8&gt;5,0,1)</formula>
    </cfRule>
  </conditionalFormatting>
  <conditionalFormatting sqref="U20:W20 U105:W105">
    <cfRule type="expression" dxfId="1484" priority="52" stopIfTrue="1">
      <formula>IF(AL8&gt;6,0,1)</formula>
    </cfRule>
  </conditionalFormatting>
  <conditionalFormatting sqref="X20:Z20 X105:Z105">
    <cfRule type="expression" dxfId="1483" priority="53" stopIfTrue="1">
      <formula>IF(AL8&gt;7,0,1)</formula>
    </cfRule>
  </conditionalFormatting>
  <conditionalFormatting sqref="AA20:AC20 AA105:AC105">
    <cfRule type="expression" dxfId="1482" priority="54" stopIfTrue="1">
      <formula>IF(AL8&gt;8,0,1)</formula>
    </cfRule>
  </conditionalFormatting>
  <conditionalFormatting sqref="AD20:AF20 AD105:AF105">
    <cfRule type="expression" dxfId="1481" priority="55" stopIfTrue="1">
      <formula>IF(AL8&gt;9,0,1)</formula>
    </cfRule>
  </conditionalFormatting>
  <conditionalFormatting sqref="E22:G22 E107:G107">
    <cfRule type="expression" dxfId="1480" priority="56" stopIfTrue="1">
      <formula>IF(AL8&gt;1,0,1)</formula>
    </cfRule>
  </conditionalFormatting>
  <conditionalFormatting sqref="H22:J22 H107:J107">
    <cfRule type="expression" dxfId="1479" priority="57" stopIfTrue="1">
      <formula>IF(AL8&gt;2,0,1)</formula>
    </cfRule>
  </conditionalFormatting>
  <conditionalFormatting sqref="L22:N22 L107:N107">
    <cfRule type="expression" dxfId="1478" priority="58" stopIfTrue="1">
      <formula>IF(AL8&gt;3,0,1)</formula>
    </cfRule>
  </conditionalFormatting>
  <conditionalFormatting sqref="O22:Q22 O107:Q107">
    <cfRule type="expression" dxfId="1477" priority="59" stopIfTrue="1">
      <formula>IF(AL8&gt;4,0,1)</formula>
    </cfRule>
  </conditionalFormatting>
  <conditionalFormatting sqref="R22:T22 R107:T107">
    <cfRule type="expression" dxfId="1476" priority="60" stopIfTrue="1">
      <formula>IF(AL8&gt;5,0,1)</formula>
    </cfRule>
  </conditionalFormatting>
  <conditionalFormatting sqref="U22:W22 U107:W107">
    <cfRule type="expression" dxfId="1475" priority="61" stopIfTrue="1">
      <formula>IF(AL8&gt;6,0,1)</formula>
    </cfRule>
  </conditionalFormatting>
  <conditionalFormatting sqref="X22:Z22 X107:Z107">
    <cfRule type="expression" dxfId="1474" priority="62" stopIfTrue="1">
      <formula>IF(AL8&gt;7,0,1)</formula>
    </cfRule>
  </conditionalFormatting>
  <conditionalFormatting sqref="AA22:AC22 AA107:AC107">
    <cfRule type="expression" dxfId="1473" priority="63" stopIfTrue="1">
      <formula>IF(AL8&gt;8,0,1)</formula>
    </cfRule>
  </conditionalFormatting>
  <conditionalFormatting sqref="AD22:AF22 AD107:AF107">
    <cfRule type="expression" dxfId="1472" priority="64" stopIfTrue="1">
      <formula>IF(AL8&gt;9,0,1)</formula>
    </cfRule>
  </conditionalFormatting>
  <conditionalFormatting sqref="B24 B109">
    <cfRule type="expression" dxfId="1471" priority="65" stopIfTrue="1">
      <formula>IF(AL8&gt;0,0,1)</formula>
    </cfRule>
  </conditionalFormatting>
  <conditionalFormatting sqref="C24 C109">
    <cfRule type="expression" dxfId="1470" priority="66" stopIfTrue="1">
      <formula>IF(AL8&gt;0,0,1)</formula>
    </cfRule>
  </conditionalFormatting>
  <conditionalFormatting sqref="D24 D109">
    <cfRule type="expression" dxfId="1469" priority="67" stopIfTrue="1">
      <formula>IF(AL8&gt;0,0,1)</formula>
    </cfRule>
  </conditionalFormatting>
  <conditionalFormatting sqref="E23:G23 E108:G108">
    <cfRule type="expression" dxfId="1468" priority="68" stopIfTrue="1">
      <formula>IF(AL8&gt;1,0,1)</formula>
    </cfRule>
  </conditionalFormatting>
  <conditionalFormatting sqref="F24 F109">
    <cfRule type="expression" dxfId="1467" priority="69" stopIfTrue="1">
      <formula>IF(AL8&gt;1,0,1)</formula>
    </cfRule>
  </conditionalFormatting>
  <conditionalFormatting sqref="G24 G109">
    <cfRule type="expression" dxfId="1466" priority="70" stopIfTrue="1">
      <formula>IF(AL8&gt;1,0,1)</formula>
    </cfRule>
  </conditionalFormatting>
  <conditionalFormatting sqref="H23:J23 H108:J108">
    <cfRule type="expression" dxfId="1465" priority="71" stopIfTrue="1">
      <formula>IF(AL8&gt;2,0,1)</formula>
    </cfRule>
  </conditionalFormatting>
  <conditionalFormatting sqref="I24 I109">
    <cfRule type="expression" dxfId="1464" priority="72" stopIfTrue="1">
      <formula>IF(AL8&gt;2,0,1)</formula>
    </cfRule>
  </conditionalFormatting>
  <conditionalFormatting sqref="J24 J109">
    <cfRule type="expression" dxfId="1463" priority="73" stopIfTrue="1">
      <formula>IF(AL8&gt;2,0,1)</formula>
    </cfRule>
  </conditionalFormatting>
  <conditionalFormatting sqref="L23:N23 L108:N108">
    <cfRule type="expression" dxfId="1462" priority="74" stopIfTrue="1">
      <formula>IF(AL8&gt;3,0,1)</formula>
    </cfRule>
  </conditionalFormatting>
  <conditionalFormatting sqref="M24 M109">
    <cfRule type="expression" dxfId="1461" priority="75" stopIfTrue="1">
      <formula>IF(AL8&gt;3,0,1)</formula>
    </cfRule>
  </conditionalFormatting>
  <conditionalFormatting sqref="N24 N109">
    <cfRule type="expression" dxfId="1460" priority="76" stopIfTrue="1">
      <formula>IF(AL8&gt;3,0,1)</formula>
    </cfRule>
  </conditionalFormatting>
  <conditionalFormatting sqref="O23:Q23 O108:Q108">
    <cfRule type="expression" dxfId="1459" priority="77" stopIfTrue="1">
      <formula>IF(AL8&gt;4,0,1)</formula>
    </cfRule>
  </conditionalFormatting>
  <conditionalFormatting sqref="P24 P109">
    <cfRule type="expression" dxfId="1458" priority="78" stopIfTrue="1">
      <formula>IF(AL8&gt;4,0,1)</formula>
    </cfRule>
  </conditionalFormatting>
  <conditionalFormatting sqref="Q24 Q109">
    <cfRule type="expression" dxfId="1457" priority="79" stopIfTrue="1">
      <formula>IF(AL8&gt;4,0,1)</formula>
    </cfRule>
  </conditionalFormatting>
  <conditionalFormatting sqref="R23:T23 R108:T108">
    <cfRule type="expression" dxfId="1456" priority="80" stopIfTrue="1">
      <formula>IF(AL8&gt;5,0,1)</formula>
    </cfRule>
  </conditionalFormatting>
  <conditionalFormatting sqref="S24 S109">
    <cfRule type="expression" dxfId="1455" priority="81" stopIfTrue="1">
      <formula>IF(AL8&gt;5,0,1)</formula>
    </cfRule>
  </conditionalFormatting>
  <conditionalFormatting sqref="T24 T109">
    <cfRule type="expression" dxfId="1454" priority="82" stopIfTrue="1">
      <formula>IF(AL8&gt;5,0,1)</formula>
    </cfRule>
  </conditionalFormatting>
  <conditionalFormatting sqref="U23:W23 U108:W108">
    <cfRule type="expression" dxfId="1453" priority="83" stopIfTrue="1">
      <formula>IF(AL8&gt;6,0,1)</formula>
    </cfRule>
  </conditionalFormatting>
  <conditionalFormatting sqref="V24 V109">
    <cfRule type="expression" dxfId="1452" priority="84" stopIfTrue="1">
      <formula>IF(AL8&gt;6,0,1)</formula>
    </cfRule>
  </conditionalFormatting>
  <conditionalFormatting sqref="W24 W109">
    <cfRule type="expression" dxfId="1451" priority="85" stopIfTrue="1">
      <formula>IF(AL8&gt;6,0,1)</formula>
    </cfRule>
  </conditionalFormatting>
  <conditionalFormatting sqref="X23:Z23 X108:Z108">
    <cfRule type="expression" dxfId="1450" priority="86" stopIfTrue="1">
      <formula>IF(AL8&gt;7,0,1)</formula>
    </cfRule>
  </conditionalFormatting>
  <conditionalFormatting sqref="Y24 Y109">
    <cfRule type="expression" dxfId="1449" priority="87" stopIfTrue="1">
      <formula>IF(AL8&gt;7,0,1)</formula>
    </cfRule>
  </conditionalFormatting>
  <conditionalFormatting sqref="Z24 Z109">
    <cfRule type="expression" dxfId="1448" priority="88" stopIfTrue="1">
      <formula>IF(AL8&gt;7,0,1)</formula>
    </cfRule>
  </conditionalFormatting>
  <conditionalFormatting sqref="AA23:AC23 AA108:AC108">
    <cfRule type="expression" dxfId="1447" priority="89" stopIfTrue="1">
      <formula>IF(AL8&gt;8,0,1)</formula>
    </cfRule>
  </conditionalFormatting>
  <conditionalFormatting sqref="AB24 AB109">
    <cfRule type="expression" dxfId="1446" priority="90" stopIfTrue="1">
      <formula>IF(AL8&gt;8,0,1)</formula>
    </cfRule>
  </conditionalFormatting>
  <conditionalFormatting sqref="AC24 AC109">
    <cfRule type="expression" dxfId="1445" priority="91" stopIfTrue="1">
      <formula>IF(AL8&gt;8,0,1)</formula>
    </cfRule>
  </conditionalFormatting>
  <conditionalFormatting sqref="AD23:AF23 AD108:AF108">
    <cfRule type="expression" dxfId="1444" priority="92" stopIfTrue="1">
      <formula>IF(AL8&gt;9,0,1)</formula>
    </cfRule>
  </conditionalFormatting>
  <conditionalFormatting sqref="AE24 AE109">
    <cfRule type="expression" dxfId="1443" priority="93" stopIfTrue="1">
      <formula>IF(AL8&gt;9,0,1)</formula>
    </cfRule>
  </conditionalFormatting>
  <conditionalFormatting sqref="AF24 AF109">
    <cfRule type="expression" dxfId="1442" priority="94" stopIfTrue="1">
      <formula>IF(AL8&gt;9,0,1)</formula>
    </cfRule>
  </conditionalFormatting>
  <conditionalFormatting sqref="A26 A111">
    <cfRule type="expression" dxfId="1441" priority="95" stopIfTrue="1">
      <formula>IF(AL7&gt;1,0,1)</formula>
    </cfRule>
  </conditionalFormatting>
  <conditionalFormatting sqref="A27 A112">
    <cfRule type="expression" dxfId="1440" priority="96" stopIfTrue="1">
      <formula>IF(AL7&gt;2,0,1)</formula>
    </cfRule>
  </conditionalFormatting>
  <conditionalFormatting sqref="A28 A113">
    <cfRule type="expression" dxfId="1439" priority="97" stopIfTrue="1">
      <formula>IF(AL7&gt;3,0,1)</formula>
    </cfRule>
  </conditionalFormatting>
  <conditionalFormatting sqref="A29 A114">
    <cfRule type="expression" dxfId="1438" priority="98" stopIfTrue="1">
      <formula>IF(AL7&gt;4,0,1)</formula>
    </cfRule>
  </conditionalFormatting>
  <conditionalFormatting sqref="B25:D25 B110:D110">
    <cfRule type="expression" dxfId="1437" priority="99" stopIfTrue="1">
      <formula>IF($AL8&gt;0,0,1)</formula>
    </cfRule>
  </conditionalFormatting>
  <conditionalFormatting sqref="B26:D26 B111:D111">
    <cfRule type="expression" dxfId="1436" priority="100" stopIfTrue="1">
      <formula>IF($AL8&lt;1,1,IF($AL7&lt;2,1,0))</formula>
    </cfRule>
  </conditionalFormatting>
  <conditionalFormatting sqref="B27:D27 B112:D112">
    <cfRule type="expression" dxfId="1435" priority="101" stopIfTrue="1">
      <formula>IF($AL8&lt;1,1,IF($AL7&lt;3,1,0))</formula>
    </cfRule>
  </conditionalFormatting>
  <conditionalFormatting sqref="B28:D28 B113:D113">
    <cfRule type="expression" dxfId="1434" priority="102" stopIfTrue="1">
      <formula>IF($AL8&lt;1,1,IF($AL7&lt;4,1,0))</formula>
    </cfRule>
  </conditionalFormatting>
  <conditionalFormatting sqref="B29:D29 B114:D114">
    <cfRule type="expression" dxfId="1433" priority="103" stopIfTrue="1">
      <formula>IF($AL8&lt;1,1,IF($AL7&lt;5,1,0))</formula>
    </cfRule>
  </conditionalFormatting>
  <conditionalFormatting sqref="AG26 AG111">
    <cfRule type="expression" dxfId="1432" priority="104" stopIfTrue="1">
      <formula>IF($AL9&gt;2,0,1)</formula>
    </cfRule>
  </conditionalFormatting>
  <conditionalFormatting sqref="AG25 AG110">
    <cfRule type="expression" dxfId="1431" priority="105" stopIfTrue="1">
      <formula>IF($AL9&gt;1,0,1)</formula>
    </cfRule>
  </conditionalFormatting>
  <conditionalFormatting sqref="AG24 AG109">
    <cfRule type="expression" dxfId="1430" priority="106" stopIfTrue="1">
      <formula>IF($AL9&gt;0,0,1)</formula>
    </cfRule>
  </conditionalFormatting>
  <conditionalFormatting sqref="AG27 AG112">
    <cfRule type="expression" dxfId="1429" priority="107" stopIfTrue="1">
      <formula>IF($AL9&gt;3,0,1)</formula>
    </cfRule>
  </conditionalFormatting>
  <conditionalFormatting sqref="AG28 AG113">
    <cfRule type="expression" dxfId="1428" priority="108" stopIfTrue="1">
      <formula>IF($AL9&gt;4,0,1)</formula>
    </cfRule>
  </conditionalFormatting>
  <conditionalFormatting sqref="AH23 AH108">
    <cfRule type="expression" dxfId="1427" priority="109" stopIfTrue="1">
      <formula>IF($AL8&lt;1,1,0)</formula>
    </cfRule>
  </conditionalFormatting>
  <conditionalFormatting sqref="AI23 AI108">
    <cfRule type="expression" dxfId="1426" priority="110" stopIfTrue="1">
      <formula>IF($AL8&lt;2,1,0)</formula>
    </cfRule>
  </conditionalFormatting>
  <conditionalFormatting sqref="AJ23 AJ108">
    <cfRule type="expression" dxfId="1425" priority="111" stopIfTrue="1">
      <formula>IF($AL8&lt;3,1,0)</formula>
    </cfRule>
  </conditionalFormatting>
  <conditionalFormatting sqref="AK23 AK108">
    <cfRule type="expression" dxfId="1424" priority="112" stopIfTrue="1">
      <formula>IF($AL8&lt;4,1,0)</formula>
    </cfRule>
  </conditionalFormatting>
  <conditionalFormatting sqref="AL23 AL108">
    <cfRule type="expression" dxfId="1423" priority="113" stopIfTrue="1">
      <formula>IF($AL8&lt;5,1,0)</formula>
    </cfRule>
  </conditionalFormatting>
  <conditionalFormatting sqref="AM23 AM108">
    <cfRule type="expression" dxfId="1422" priority="114" stopIfTrue="1">
      <formula>IF($AL8&lt;6,1,0)</formula>
    </cfRule>
  </conditionalFormatting>
  <conditionalFormatting sqref="AN23 AN108">
    <cfRule type="expression" dxfId="1421" priority="115" stopIfTrue="1">
      <formula>IF($AL8&lt;7,1,0)</formula>
    </cfRule>
  </conditionalFormatting>
  <conditionalFormatting sqref="AO23 AO108">
    <cfRule type="expression" dxfId="1420" priority="116" stopIfTrue="1">
      <formula>IF($AL8&lt;8,1,0)</formula>
    </cfRule>
  </conditionalFormatting>
  <conditionalFormatting sqref="AP23 AP108">
    <cfRule type="expression" dxfId="1419" priority="117" stopIfTrue="1">
      <formula>IF($AL8&lt;9,1,0)</formula>
    </cfRule>
  </conditionalFormatting>
  <conditionalFormatting sqref="AQ23 AQ108">
    <cfRule type="expression" dxfId="1418" priority="118" stopIfTrue="1">
      <formula>IF($AL8&lt;10,1,0)</formula>
    </cfRule>
  </conditionalFormatting>
  <conditionalFormatting sqref="AR24 AR109">
    <cfRule type="expression" dxfId="1417" priority="119" stopIfTrue="1">
      <formula>IF($AL9&gt;0,0,1)</formula>
    </cfRule>
  </conditionalFormatting>
  <conditionalFormatting sqref="AR25 AR110">
    <cfRule type="expression" dxfId="1416" priority="120" stopIfTrue="1">
      <formula>IF($AL9&gt;1,0,1)</formula>
    </cfRule>
  </conditionalFormatting>
  <conditionalFormatting sqref="AR26 H25:J25 AR111 H110:J110">
    <cfRule type="expression" dxfId="1415" priority="121" stopIfTrue="1">
      <formula>IF($AL8&gt;2,0,1)</formula>
    </cfRule>
  </conditionalFormatting>
  <conditionalFormatting sqref="L25:N25 L110:N110">
    <cfRule type="expression" dxfId="1414" priority="122" stopIfTrue="1">
      <formula>IF($AL8&gt;3,0,1)</formula>
    </cfRule>
  </conditionalFormatting>
  <conditionalFormatting sqref="AR28 AR113">
    <cfRule type="expression" dxfId="1413" priority="123" stopIfTrue="1">
      <formula>IF($AL9&gt;4,0,1)</formula>
    </cfRule>
  </conditionalFormatting>
  <conditionalFormatting sqref="E26:G26 E111:G111">
    <cfRule type="expression" dxfId="1412" priority="124" stopIfTrue="1">
      <formula>IF($AL8&lt;2,1,IF($AL7&lt;2,1,0))</formula>
    </cfRule>
  </conditionalFormatting>
  <conditionalFormatting sqref="E27:G27 E112:G112">
    <cfRule type="expression" dxfId="1411" priority="125" stopIfTrue="1">
      <formula>IF($AL8&lt;2,1,IF($AL7&lt;3,1,0))</formula>
    </cfRule>
  </conditionalFormatting>
  <conditionalFormatting sqref="E28:G28 E113:G113">
    <cfRule type="expression" dxfId="1410" priority="126" stopIfTrue="1">
      <formula>IF($AL8&lt;2,1,IF($AL7&lt;4,1,0))</formula>
    </cfRule>
  </conditionalFormatting>
  <conditionalFormatting sqref="E29:G29 E114:G114">
    <cfRule type="expression" dxfId="1409" priority="127" stopIfTrue="1">
      <formula>IF($AL8&lt;2,1,IF($AL7&lt;5,1,0))</formula>
    </cfRule>
  </conditionalFormatting>
  <conditionalFormatting sqref="O25:Q25 O110:Q110">
    <cfRule type="expression" dxfId="1408" priority="128" stopIfTrue="1">
      <formula>IF($AL8&gt;4,0,1)</formula>
    </cfRule>
  </conditionalFormatting>
  <conditionalFormatting sqref="R25:T25 R110:T110">
    <cfRule type="expression" dxfId="1407" priority="129" stopIfTrue="1">
      <formula>IF($AL8&gt;5,0,1)</formula>
    </cfRule>
  </conditionalFormatting>
  <conditionalFormatting sqref="U25:W25 U110:W110">
    <cfRule type="expression" dxfId="1406" priority="130" stopIfTrue="1">
      <formula>IF($AL8&gt;6,0,1)</formula>
    </cfRule>
  </conditionalFormatting>
  <conditionalFormatting sqref="X25:Z25 X110:Z110">
    <cfRule type="expression" dxfId="1405" priority="131" stopIfTrue="1">
      <formula>IF($AL8&gt;7,0,1)</formula>
    </cfRule>
  </conditionalFormatting>
  <conditionalFormatting sqref="AA25:AC25 AA110:AC110">
    <cfRule type="expression" dxfId="1404" priority="132" stopIfTrue="1">
      <formula>IF($AL8&gt;8,0,1)</formula>
    </cfRule>
  </conditionalFormatting>
  <conditionalFormatting sqref="AD25:AF25 AD110:AF110">
    <cfRule type="expression" dxfId="1403" priority="133" stopIfTrue="1">
      <formula>IF($AL8&gt;9,0,1)</formula>
    </cfRule>
  </conditionalFormatting>
  <conditionalFormatting sqref="H26:J26 H111:J111">
    <cfRule type="expression" dxfId="1402" priority="134" stopIfTrue="1">
      <formula>IF($AL8&lt;3,1,IF($AL7&lt;2,1,0))</formula>
    </cfRule>
  </conditionalFormatting>
  <conditionalFormatting sqref="L26:N26 L111:N111">
    <cfRule type="expression" dxfId="1401" priority="135" stopIfTrue="1">
      <formula>IF($AL8&lt;4,1,IF($AL7&lt;2,1,0))</formula>
    </cfRule>
  </conditionalFormatting>
  <conditionalFormatting sqref="O26:Q26 O111:Q111">
    <cfRule type="expression" dxfId="1400" priority="136" stopIfTrue="1">
      <formula>IF($AL8&lt;5,1,IF($AL7&lt;2,1,0))</formula>
    </cfRule>
  </conditionalFormatting>
  <conditionalFormatting sqref="R26:T26 R111:T111">
    <cfRule type="expression" dxfId="1399" priority="137" stopIfTrue="1">
      <formula>IF($AL8&lt;6,1,IF($AL7&lt;2,1,0))</formula>
    </cfRule>
  </conditionalFormatting>
  <conditionalFormatting sqref="U26:W26 U111:W111">
    <cfRule type="expression" dxfId="1398" priority="138" stopIfTrue="1">
      <formula>IF($AL8&lt;7,1,IF($AL7&lt;2,1,0))</formula>
    </cfRule>
  </conditionalFormatting>
  <conditionalFormatting sqref="X26:Z26 X111:Z111">
    <cfRule type="expression" dxfId="1397" priority="139" stopIfTrue="1">
      <formula>IF($AL8&lt;8,1,IF($AL7&lt;2,1,0))</formula>
    </cfRule>
  </conditionalFormatting>
  <conditionalFormatting sqref="AA26:AC26 AA111:AC111">
    <cfRule type="expression" dxfId="1396" priority="140" stopIfTrue="1">
      <formula>IF($AL8&lt;9,1,IF($AL7&lt;2,1,0))</formula>
    </cfRule>
  </conditionalFormatting>
  <conditionalFormatting sqref="AD26:AF26 AD111:AF111">
    <cfRule type="expression" dxfId="1395" priority="141" stopIfTrue="1">
      <formula>IF($AL8&lt;10,1,IF($AL7&lt;2,1,0))</formula>
    </cfRule>
  </conditionalFormatting>
  <conditionalFormatting sqref="H27:J27 H112:J112">
    <cfRule type="expression" dxfId="1394" priority="142" stopIfTrue="1">
      <formula>IF($AL8&lt;3,1,IF($AL7&lt;3,1,0))</formula>
    </cfRule>
  </conditionalFormatting>
  <conditionalFormatting sqref="L27:N27 L112:N112">
    <cfRule type="expression" dxfId="1393" priority="143" stopIfTrue="1">
      <formula>IF($AL8&lt;4,1,IF($AL7&lt;3,1,0))</formula>
    </cfRule>
  </conditionalFormatting>
  <conditionalFormatting sqref="O27:Q27 O112:Q112">
    <cfRule type="expression" dxfId="1392" priority="144" stopIfTrue="1">
      <formula>IF($AL8&lt;5,1,IF($AL7&lt;3,1,0))</formula>
    </cfRule>
  </conditionalFormatting>
  <conditionalFormatting sqref="R27:T27 R112:T112">
    <cfRule type="expression" dxfId="1391" priority="145" stopIfTrue="1">
      <formula>IF($AL8&lt;6,1,IF($AL7&lt;3,1,0))</formula>
    </cfRule>
  </conditionalFormatting>
  <conditionalFormatting sqref="U27:W27 U112:W112">
    <cfRule type="expression" dxfId="1390" priority="146" stopIfTrue="1">
      <formula>IF($AL8&lt;7,1,IF($AL7&lt;3,1,0))</formula>
    </cfRule>
  </conditionalFormatting>
  <conditionalFormatting sqref="X27:Z27 X112:Z112">
    <cfRule type="expression" dxfId="1389" priority="147" stopIfTrue="1">
      <formula>IF($AL8&lt;8,1,IF($AL7&lt;3,1,0))</formula>
    </cfRule>
  </conditionalFormatting>
  <conditionalFormatting sqref="AA27:AC27 AA112:AC112">
    <cfRule type="expression" dxfId="1388" priority="148" stopIfTrue="1">
      <formula>IF($AL8&lt;9,1,IF($AL7&lt;3,1,0))</formula>
    </cfRule>
  </conditionalFormatting>
  <conditionalFormatting sqref="AD27:AF27 AD112:AF112">
    <cfRule type="expression" dxfId="1387" priority="149" stopIfTrue="1">
      <formula>IF($AL8&lt;10,1,IF($AL7&lt;3,1,0))</formula>
    </cfRule>
  </conditionalFormatting>
  <conditionalFormatting sqref="H28:J28 H113:J113">
    <cfRule type="expression" dxfId="1386" priority="150" stopIfTrue="1">
      <formula>IF($AL8&lt;3,1,IF($AL7&lt;4,1,0))</formula>
    </cfRule>
  </conditionalFormatting>
  <conditionalFormatting sqref="L28:N28 L113:N113">
    <cfRule type="expression" dxfId="1385" priority="151" stopIfTrue="1">
      <formula>IF($AL8&lt;4,1,IF($AL7&lt;4,1,0))</formula>
    </cfRule>
  </conditionalFormatting>
  <conditionalFormatting sqref="O28:Q28 O113:Q113">
    <cfRule type="expression" dxfId="1384" priority="152" stopIfTrue="1">
      <formula>IF($AL8&lt;5,1,IF($AL7&lt;4,1,0))</formula>
    </cfRule>
  </conditionalFormatting>
  <conditionalFormatting sqref="R28:T28 R113:T113">
    <cfRule type="expression" dxfId="1383" priority="153" stopIfTrue="1">
      <formula>IF($AL8&lt;6,1,IF($AL7&lt;4,1,0))</formula>
    </cfRule>
  </conditionalFormatting>
  <conditionalFormatting sqref="U28:W28 U113:W113">
    <cfRule type="expression" dxfId="1382" priority="154" stopIfTrue="1">
      <formula>IF($AL8&lt;7,1,IF($AL7&lt;4,1,0))</formula>
    </cfRule>
  </conditionalFormatting>
  <conditionalFormatting sqref="X28:Z28 X113:Z113">
    <cfRule type="expression" dxfId="1381" priority="155" stopIfTrue="1">
      <formula>IF($AL8&lt;8,1,IF($AL7&lt;4,1,0))</formula>
    </cfRule>
  </conditionalFormatting>
  <conditionalFormatting sqref="AA28:AC28 AA113:AC113">
    <cfRule type="expression" dxfId="1380" priority="156" stopIfTrue="1">
      <formula>IF($AL8&lt;9,1,IF($AL7&lt;4,1,0))</formula>
    </cfRule>
  </conditionalFormatting>
  <conditionalFormatting sqref="AD28:AF28 AD113:AF113">
    <cfRule type="expression" dxfId="1379" priority="157" stopIfTrue="1">
      <formula>IF($AL8&lt;10,1,IF($AL7&lt;4,1,0))</formula>
    </cfRule>
  </conditionalFormatting>
  <conditionalFormatting sqref="H29:J29 H114:J114">
    <cfRule type="expression" dxfId="1378" priority="158" stopIfTrue="1">
      <formula>IF($AL8&lt;3,1,IF($AL7&lt;5,1,0))</formula>
    </cfRule>
  </conditionalFormatting>
  <conditionalFormatting sqref="L29:N29 L114:N114">
    <cfRule type="expression" dxfId="1377" priority="159" stopIfTrue="1">
      <formula>IF($AL8&lt;4,1,IF($AL7&lt;5,1,0))</formula>
    </cfRule>
  </conditionalFormatting>
  <conditionalFormatting sqref="O29:Q29 O114:Q114">
    <cfRule type="expression" dxfId="1376" priority="160" stopIfTrue="1">
      <formula>IF($AL8&lt;5,1,IF($AL7&lt;5,1,0))</formula>
    </cfRule>
  </conditionalFormatting>
  <conditionalFormatting sqref="R29:T29 R114:T114">
    <cfRule type="expression" dxfId="1375" priority="161" stopIfTrue="1">
      <formula>IF($AL8&lt;6,1,IF($AL7&lt;5,1,0))</formula>
    </cfRule>
  </conditionalFormatting>
  <conditionalFormatting sqref="U29:W29 U114:W114">
    <cfRule type="expression" dxfId="1374" priority="162" stopIfTrue="1">
      <formula>IF($AL8&lt;7,1,IF($AL7&lt;5,1,0))</formula>
    </cfRule>
  </conditionalFormatting>
  <conditionalFormatting sqref="X29:Z29 X114:Z114">
    <cfRule type="expression" dxfId="1373" priority="163" stopIfTrue="1">
      <formula>IF($AL8&lt;8,1,IF($AL7&lt;5,1,0))</formula>
    </cfRule>
  </conditionalFormatting>
  <conditionalFormatting sqref="AA29:AC29 AA114:AC114">
    <cfRule type="expression" dxfId="1372" priority="164" stopIfTrue="1">
      <formula>IF($AL8&lt;9,1,IF($AL7&lt;5,1,0))</formula>
    </cfRule>
  </conditionalFormatting>
  <conditionalFormatting sqref="AD29:AF29 AD114:AF114">
    <cfRule type="expression" dxfId="1371" priority="165" stopIfTrue="1">
      <formula>IF($AL8&lt;10,1,IF($AL7&lt;5,1,0))</formula>
    </cfRule>
  </conditionalFormatting>
  <conditionalFormatting sqref="S14:AC15 M14:Q15 S99:AC100 M99:Q100 AG99:AH100 AG14:AH15">
    <cfRule type="expression" dxfId="1370" priority="166" stopIfTrue="1">
      <formula>IF($AL9&gt;3,0,1)</formula>
    </cfRule>
  </conditionalFormatting>
  <conditionalFormatting sqref="S16:AC17 M16:Q17 S101:AC102 M101:Q102 AG101:AH102 AG16:AH17">
    <cfRule type="expression" dxfId="1369" priority="167" stopIfTrue="1">
      <formula>IF($AL9&gt;4,0,1)</formula>
    </cfRule>
  </conditionalFormatting>
  <conditionalFormatting sqref="S8:AC9 M8:Q9 S93:AC94 M93:Q94 AG93:AH94 AG8:AH9">
    <cfRule type="expression" dxfId="1368" priority="168" stopIfTrue="1">
      <formula>IF($AL9&gt;0,0,1)</formula>
    </cfRule>
  </conditionalFormatting>
  <conditionalFormatting sqref="S10:AC11 M10:Q11 S95:AC96 M95:Q96 AG95:AH96 AG10:AH11">
    <cfRule type="expression" dxfId="1367" priority="169" stopIfTrue="1">
      <formula>IF($AL9&gt;1,0,1)</formula>
    </cfRule>
  </conditionalFormatting>
  <conditionalFormatting sqref="S12:AC13 M12:Q13 S97:AC98 M97:Q98 AG97:AH98 AG12:AH13">
    <cfRule type="expression" dxfId="1366" priority="170" stopIfTrue="1">
      <formula>IF($AL9&gt;2,0,1)</formula>
    </cfRule>
  </conditionalFormatting>
  <conditionalFormatting sqref="E24 E109">
    <cfRule type="expression" dxfId="1365" priority="171" stopIfTrue="1">
      <formula>IF(AL8&gt;1,0,1)</formula>
    </cfRule>
  </conditionalFormatting>
  <conditionalFormatting sqref="H24 H109">
    <cfRule type="expression" dxfId="1364" priority="172" stopIfTrue="1">
      <formula>IF(AL8&gt;2,0,1)</formula>
    </cfRule>
  </conditionalFormatting>
  <conditionalFormatting sqref="L24 L109">
    <cfRule type="expression" dxfId="1363" priority="173" stopIfTrue="1">
      <formula>IF(AL8&gt;3,0,1)</formula>
    </cfRule>
  </conditionalFormatting>
  <conditionalFormatting sqref="O24 O109">
    <cfRule type="expression" dxfId="1362" priority="174" stopIfTrue="1">
      <formula>IF(AL8&gt;4,0,1)</formula>
    </cfRule>
  </conditionalFormatting>
  <conditionalFormatting sqref="R24 R109">
    <cfRule type="expression" dxfId="1361" priority="175" stopIfTrue="1">
      <formula>IF(AL8&gt;5,0,1)</formula>
    </cfRule>
  </conditionalFormatting>
  <conditionalFormatting sqref="U24 U109">
    <cfRule type="expression" dxfId="1360" priority="176" stopIfTrue="1">
      <formula>IF(AL8&gt;6,0,1)</formula>
    </cfRule>
  </conditionalFormatting>
  <conditionalFormatting sqref="X24 X109">
    <cfRule type="expression" dxfId="1359" priority="177" stopIfTrue="1">
      <formula>IF(AL8&gt;7,0,1)</formula>
    </cfRule>
  </conditionalFormatting>
  <conditionalFormatting sqref="AA24 AA109">
    <cfRule type="expression" dxfId="1358" priority="178" stopIfTrue="1">
      <formula>IF(AL8&gt;8,0,1)</formula>
    </cfRule>
  </conditionalFormatting>
  <conditionalFormatting sqref="AD24 AD109">
    <cfRule type="expression" dxfId="1357" priority="179" stopIfTrue="1">
      <formula>IF(AL8&gt;9,0,1)</formula>
    </cfRule>
  </conditionalFormatting>
  <conditionalFormatting sqref="AR27 AR112">
    <cfRule type="expression" dxfId="1356" priority="180" stopIfTrue="1">
      <formula>IF($AL9&gt;3,0,1)</formula>
    </cfRule>
  </conditionalFormatting>
  <conditionalFormatting sqref="E25:G25 E110:G110">
    <cfRule type="expression" dxfId="1355" priority="181" stopIfTrue="1">
      <formula>IF($AL8&gt;1,0,1)</formula>
    </cfRule>
  </conditionalFormatting>
  <conditionalFormatting sqref="B21:D21 B106:D106">
    <cfRule type="expression" dxfId="1354" priority="182" stopIfTrue="1">
      <formula>IF(AL8&gt;0,0,1)</formula>
    </cfRule>
  </conditionalFormatting>
  <conditionalFormatting sqref="E21:G21 E106:G106">
    <cfRule type="expression" dxfId="1353" priority="183" stopIfTrue="1">
      <formula>IF(AL8&gt;1,0,1)</formula>
    </cfRule>
  </conditionalFormatting>
  <conditionalFormatting sqref="H21:K21 H106:K106">
    <cfRule type="expression" dxfId="1352" priority="184" stopIfTrue="1">
      <formula>IF(AL8&gt;2,0,1)</formula>
    </cfRule>
  </conditionalFormatting>
  <conditionalFormatting sqref="L21:N21 L106:N106">
    <cfRule type="expression" dxfId="1351" priority="185" stopIfTrue="1">
      <formula>IF(AL8&gt;3,0,1)</formula>
    </cfRule>
  </conditionalFormatting>
  <conditionalFormatting sqref="O21:Q21 O106:Q106">
    <cfRule type="expression" dxfId="1350" priority="186" stopIfTrue="1">
      <formula>IF(AL8&gt;4,0,1)</formula>
    </cfRule>
  </conditionalFormatting>
  <conditionalFormatting sqref="R21:T21 R106:T106">
    <cfRule type="expression" dxfId="1349" priority="187" stopIfTrue="1">
      <formula>IF(AL8&gt;5,0,1)</formula>
    </cfRule>
  </conditionalFormatting>
  <conditionalFormatting sqref="U21:W21 U106:W106">
    <cfRule type="expression" dxfId="1348" priority="188" stopIfTrue="1">
      <formula>IF(AL8&gt;6,0,1)</formula>
    </cfRule>
  </conditionalFormatting>
  <conditionalFormatting sqref="X21:Z21 X106:Z106">
    <cfRule type="expression" dxfId="1347" priority="189" stopIfTrue="1">
      <formula>IF(AL8&gt;7,0,1)</formula>
    </cfRule>
  </conditionalFormatting>
  <conditionalFormatting sqref="AA21:AC21 AA106:AC106">
    <cfRule type="expression" dxfId="1346" priority="190" stopIfTrue="1">
      <formula>IF(AL8&gt;8,0,1)</formula>
    </cfRule>
  </conditionalFormatting>
  <conditionalFormatting sqref="AD21:AF21 AD106:AF106">
    <cfRule type="expression" dxfId="1345" priority="191" stopIfTrue="1">
      <formula>IF(AL8&gt;9,0,1)</formula>
    </cfRule>
  </conditionalFormatting>
  <conditionalFormatting sqref="B215:B216 C215:D215 B218:D223 C224:C225 AE223:AE225 E219:J222 Y224:Y225 X215:X216 Y215:Z215 X218:Z223 AA219:AF222 AB223:AB225 I223:I225 F223:F225">
    <cfRule type="expression" dxfId="1344" priority="192" stopIfTrue="1">
      <formula>IF(#REF!&gt;0,0,1)</formula>
    </cfRule>
  </conditionalFormatting>
  <conditionalFormatting sqref="H223 H215:H218 I215:K215 I218:J218 J223 AD215:AD218 AE215:AF215 AF223 AE218:AF218 AD223">
    <cfRule type="expression" dxfId="1343" priority="193" stopIfTrue="1">
      <formula>IF(#REF!&gt;2,0,1)</formula>
    </cfRule>
  </conditionalFormatting>
  <conditionalFormatting sqref="H224 J224 AD224 AF224">
    <cfRule type="expression" dxfId="1342" priority="194" stopIfTrue="1">
      <formula>IF(#REF!&lt;3,1,IF(#REF!&lt;2,1,0))</formula>
    </cfRule>
  </conditionalFormatting>
  <conditionalFormatting sqref="J225 AD225 AF225 H225">
    <cfRule type="expression" dxfId="1341" priority="195" stopIfTrue="1">
      <formula>IF(#REF!&lt;3,1,IF(#REF!&lt;3,1,0))</formula>
    </cfRule>
  </conditionalFormatting>
  <conditionalFormatting sqref="G223 F218:G218 E223 E215:E218 AB215:AC215 AC223 AB218:AC218 AA223 AA215:AA218 F215:G215">
    <cfRule type="expression" dxfId="1340" priority="196" stopIfTrue="1">
      <formula>IF(#REF!&gt;1,0,1)</formula>
    </cfRule>
  </conditionalFormatting>
  <conditionalFormatting sqref="B224 D224 X224 Z224">
    <cfRule type="expression" dxfId="1339" priority="197" stopIfTrue="1">
      <formula>IF(#REF!&lt;1,1,IF(#REF!&lt;2,1,0))</formula>
    </cfRule>
  </conditionalFormatting>
  <conditionalFormatting sqref="E224 G224 AA224 AC224">
    <cfRule type="expression" dxfId="1338" priority="198" stopIfTrue="1">
      <formula>IF(#REF!&lt;2,1,IF(#REF!&lt;2,1,0))</formula>
    </cfRule>
  </conditionalFormatting>
  <conditionalFormatting sqref="D225 X225 Z225 B225">
    <cfRule type="expression" dxfId="1337" priority="199" stopIfTrue="1">
      <formula>IF(#REF!&lt;1,1,IF(#REF!&lt;3,1,0))</formula>
    </cfRule>
  </conditionalFormatting>
  <conditionalFormatting sqref="G225 AA225 AC225 E225">
    <cfRule type="expression" dxfId="1336" priority="200" stopIfTrue="1">
      <formula>IF(#REF!&lt;2,1,IF(#REF!&lt;3,1,0))</formula>
    </cfRule>
  </conditionalFormatting>
  <conditionalFormatting sqref="AH24:AQ28 AH109:AQ113">
    <cfRule type="cellIs" dxfId="1335" priority="201" stopIfTrue="1" operator="notBetween">
      <formula>-9999</formula>
      <formula>9999</formula>
    </cfRule>
  </conditionalFormatting>
  <conditionalFormatting sqref="B22:D23 B107:D108">
    <cfRule type="cellIs" dxfId="1334" priority="202" stopIfTrue="1" operator="equal">
      <formula>99</formula>
    </cfRule>
  </conditionalFormatting>
  <conditionalFormatting sqref="AD7 AD92">
    <cfRule type="expression" dxfId="1333" priority="203" stopIfTrue="1">
      <formula>IF($AL$11=0,1,0)</formula>
    </cfRule>
  </conditionalFormatting>
  <conditionalFormatting sqref="B18 B103">
    <cfRule type="expression" dxfId="1332" priority="204" stopIfTrue="1">
      <formula>IF($AL$179&gt;0,0,1)</formula>
    </cfRule>
  </conditionalFormatting>
  <conditionalFormatting sqref="C226 F226 Y226 AB226">
    <cfRule type="expression" dxfId="1331" priority="205" stopIfTrue="1">
      <formula>IF(#REF!&gt;0,0,1)</formula>
    </cfRule>
  </conditionalFormatting>
  <pageMargins left="0.25" right="0.25" top="0.25" bottom="0.25" header="0" footer="0"/>
  <pageSetup scale="78" fitToHeight="3" orientation="landscape" r:id="rId1"/>
  <headerFooter alignWithMargins="0"/>
  <rowBreaks count="1" manualBreakCount="1">
    <brk id="90" max="43" man="1"/>
  </rowBreaks>
  <drawing r:id="rId2"/>
  <legacyDrawing r:id="rId3"/>
  <controls>
    <mc:AlternateContent xmlns:mc="http://schemas.openxmlformats.org/markup-compatibility/2006">
      <mc:Choice Requires="x14">
        <control shapeId="4098" r:id="rId4" name="Pool2RecalcFinish">
          <controlPr defaultSize="0" autoLine="0" autoPict="0" r:id="rId5">
            <anchor moveWithCells="1" sizeWithCells="1">
              <from>
                <xdr:col>37</xdr:col>
                <xdr:colOff>106680</xdr:colOff>
                <xdr:row>98</xdr:row>
                <xdr:rowOff>7620</xdr:rowOff>
              </from>
              <to>
                <xdr:col>42</xdr:col>
                <xdr:colOff>228600</xdr:colOff>
                <xdr:row>101</xdr:row>
                <xdr:rowOff>106680</xdr:rowOff>
              </to>
            </anchor>
          </controlPr>
        </control>
      </mc:Choice>
      <mc:Fallback>
        <control shapeId="4098" r:id="rId4" name="Pool2RecalcFinish"/>
      </mc:Fallback>
    </mc:AlternateContent>
    <mc:AlternateContent xmlns:mc="http://schemas.openxmlformats.org/markup-compatibility/2006">
      <mc:Choice Requires="x14">
        <control shapeId="4097" r:id="rId6" name="Pool1RecalcFinish">
          <controlPr defaultSize="0" autoLine="0" autoPict="0" r:id="rId7">
            <anchor moveWithCells="1" sizeWithCells="1">
              <from>
                <xdr:col>37</xdr:col>
                <xdr:colOff>106680</xdr:colOff>
                <xdr:row>13</xdr:row>
                <xdr:rowOff>7620</xdr:rowOff>
              </from>
              <to>
                <xdr:col>42</xdr:col>
                <xdr:colOff>228600</xdr:colOff>
                <xdr:row>16</xdr:row>
                <xdr:rowOff>106680</xdr:rowOff>
              </to>
            </anchor>
          </controlPr>
        </control>
      </mc:Choice>
      <mc:Fallback>
        <control shapeId="4097" r:id="rId6" name="Pool1RecalcFinish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/>
  </sheetViews>
  <sheetFormatPr defaultRowHeight="13.2" x14ac:dyDescent="0.25"/>
  <cols>
    <col min="1" max="1" width="20.44140625" bestFit="1" customWidth="1"/>
    <col min="2" max="2" width="22.109375" bestFit="1" customWidth="1"/>
    <col min="3" max="3" width="11.109375" bestFit="1" customWidth="1"/>
    <col min="4" max="4" width="13.33203125" bestFit="1" customWidth="1"/>
    <col min="5" max="5" width="9.109375" bestFit="1" customWidth="1"/>
    <col min="6" max="6" width="7.5546875" bestFit="1" customWidth="1"/>
    <col min="8" max="8" width="9.33203125" bestFit="1" customWidth="1"/>
  </cols>
  <sheetData>
    <row r="1" spans="1:8" ht="13.8" thickBot="1" x14ac:dyDescent="0.3">
      <c r="A1" s="12" t="s">
        <v>7</v>
      </c>
      <c r="B1" s="13" t="s">
        <v>8</v>
      </c>
      <c r="C1" s="14" t="s">
        <v>9</v>
      </c>
      <c r="D1" s="165" t="s">
        <v>10</v>
      </c>
      <c r="E1" s="16" t="s">
        <v>11</v>
      </c>
      <c r="F1" s="165" t="s">
        <v>12</v>
      </c>
      <c r="H1" t="s">
        <v>1077</v>
      </c>
    </row>
    <row r="2" spans="1:8" x14ac:dyDescent="0.25">
      <c r="A2" s="18">
        <v>1</v>
      </c>
      <c r="B2" s="19" t="s">
        <v>149</v>
      </c>
      <c r="C2" s="20" t="s">
        <v>150</v>
      </c>
      <c r="D2" s="21">
        <v>1246.5304984710244</v>
      </c>
      <c r="E2" s="22">
        <v>1198.5075103942904</v>
      </c>
      <c r="F2" s="23">
        <v>1198.5075103942904</v>
      </c>
      <c r="H2" t="s">
        <v>1077</v>
      </c>
    </row>
    <row r="3" spans="1:8" x14ac:dyDescent="0.25">
      <c r="A3" s="28">
        <v>2</v>
      </c>
      <c r="B3" s="19" t="s">
        <v>153</v>
      </c>
      <c r="C3" s="30" t="s">
        <v>154</v>
      </c>
      <c r="D3" s="21">
        <v>1185.4695015289756</v>
      </c>
      <c r="E3" s="31">
        <v>1151.5489354378585</v>
      </c>
      <c r="F3" s="23">
        <v>1151.5489354378585</v>
      </c>
      <c r="H3" t="s">
        <v>1077</v>
      </c>
    </row>
    <row r="4" spans="1:8" x14ac:dyDescent="0.25">
      <c r="A4" s="28">
        <v>3</v>
      </c>
      <c r="B4" s="19" t="s">
        <v>151</v>
      </c>
      <c r="C4" s="30" t="s">
        <v>152</v>
      </c>
      <c r="D4" s="21">
        <v>1141.6652427363483</v>
      </c>
      <c r="E4" s="31">
        <v>1115.6045285651435</v>
      </c>
      <c r="F4" s="23">
        <v>1115.6045285651435</v>
      </c>
      <c r="H4" t="s">
        <v>1077</v>
      </c>
    </row>
    <row r="5" spans="1:8" x14ac:dyDescent="0.25">
      <c r="A5" s="28">
        <v>4</v>
      </c>
      <c r="B5" s="29" t="s">
        <v>145</v>
      </c>
      <c r="C5" s="30" t="s">
        <v>146</v>
      </c>
      <c r="D5" s="21">
        <v>1258.4581800415169</v>
      </c>
      <c r="E5" s="31">
        <v>1298.5668972647138</v>
      </c>
      <c r="F5" s="23">
        <v>1298.5668972647138</v>
      </c>
      <c r="H5" t="s">
        <v>1077</v>
      </c>
    </row>
    <row r="6" spans="1:8" x14ac:dyDescent="0.25">
      <c r="A6" s="28">
        <v>5</v>
      </c>
      <c r="B6" s="29" t="s">
        <v>143</v>
      </c>
      <c r="C6" s="30" t="s">
        <v>144</v>
      </c>
      <c r="D6" s="21">
        <v>1199.8765772221348</v>
      </c>
      <c r="E6" s="31">
        <v>1189.1105508037228</v>
      </c>
      <c r="F6" s="23">
        <v>1189.1105508037228</v>
      </c>
      <c r="H6" t="s">
        <v>1077</v>
      </c>
    </row>
    <row r="7" spans="1:8" x14ac:dyDescent="0.25">
      <c r="A7" s="28">
        <v>6</v>
      </c>
      <c r="B7" s="29" t="s">
        <v>147</v>
      </c>
      <c r="C7" s="30" t="s">
        <v>148</v>
      </c>
      <c r="D7" s="21">
        <v>1153.4695015289756</v>
      </c>
      <c r="E7" s="31">
        <v>1213.4507817912975</v>
      </c>
      <c r="F7" s="23">
        <v>1213.4507817912975</v>
      </c>
      <c r="H7" t="s">
        <v>1077</v>
      </c>
    </row>
    <row r="8" spans="1:8" x14ac:dyDescent="0.25">
      <c r="A8" s="28">
        <v>7</v>
      </c>
      <c r="B8" s="29" t="s">
        <v>141</v>
      </c>
      <c r="C8" s="30" t="s">
        <v>142</v>
      </c>
      <c r="D8" s="21">
        <v>1214.5304984710244</v>
      </c>
      <c r="E8" s="31">
        <v>1233.2107957429735</v>
      </c>
      <c r="F8" s="23">
        <v>1233.2107957429735</v>
      </c>
      <c r="H8" t="s">
        <v>1077</v>
      </c>
    </row>
    <row r="9" spans="1:8" x14ac:dyDescent="0.25">
      <c r="A9" s="84" t="s">
        <v>87</v>
      </c>
      <c r="B9" s="81"/>
      <c r="C9" s="81"/>
      <c r="D9" s="85"/>
      <c r="E9" s="81"/>
      <c r="F9" s="81"/>
      <c r="H9" t="s">
        <v>1077</v>
      </c>
    </row>
    <row r="10" spans="1:8" x14ac:dyDescent="0.25">
      <c r="A10" s="81" t="s">
        <v>149</v>
      </c>
      <c r="B10" s="81">
        <v>1198.5075103942904</v>
      </c>
      <c r="C10" s="81"/>
      <c r="D10" s="85"/>
      <c r="E10" s="81"/>
      <c r="F10" s="81"/>
      <c r="H10" t="s">
        <v>1077</v>
      </c>
    </row>
    <row r="11" spans="1:8" x14ac:dyDescent="0.25">
      <c r="A11" s="81" t="s">
        <v>145</v>
      </c>
      <c r="B11" s="81">
        <v>1298.5668972647138</v>
      </c>
      <c r="C11" s="81"/>
      <c r="D11" s="85"/>
      <c r="E11" s="81"/>
      <c r="F11" s="81"/>
      <c r="H11" t="s">
        <v>1077</v>
      </c>
    </row>
    <row r="12" spans="1:8" x14ac:dyDescent="0.25">
      <c r="A12" s="81" t="s">
        <v>143</v>
      </c>
      <c r="B12" s="81">
        <v>1189.1105508037228</v>
      </c>
      <c r="C12" s="81"/>
      <c r="D12" s="85"/>
      <c r="E12" s="81"/>
      <c r="F12" s="81"/>
      <c r="H12" t="s">
        <v>1077</v>
      </c>
    </row>
    <row r="13" spans="1:8" x14ac:dyDescent="0.25">
      <c r="A13" s="81" t="s">
        <v>141</v>
      </c>
      <c r="B13" s="81">
        <v>1233.2107957429735</v>
      </c>
      <c r="C13" s="81"/>
      <c r="D13" s="85"/>
      <c r="E13" s="81"/>
      <c r="F13" s="81"/>
      <c r="H13" t="s">
        <v>1077</v>
      </c>
    </row>
    <row r="14" spans="1:8" ht="13.8" thickBot="1" x14ac:dyDescent="0.3">
      <c r="A14" s="81">
        <v>0</v>
      </c>
      <c r="B14" s="81" t="e">
        <v>#N/A</v>
      </c>
      <c r="C14" s="81"/>
      <c r="D14" s="85"/>
      <c r="E14" s="81"/>
      <c r="F14" s="81"/>
      <c r="H14" t="s">
        <v>1077</v>
      </c>
    </row>
    <row r="15" spans="1:8" ht="13.8" thickBot="1" x14ac:dyDescent="0.3">
      <c r="A15" s="12" t="s">
        <v>7</v>
      </c>
      <c r="B15" s="13" t="s">
        <v>8</v>
      </c>
      <c r="C15" s="14" t="s">
        <v>9</v>
      </c>
      <c r="D15" s="165" t="s">
        <v>10</v>
      </c>
      <c r="E15" s="16" t="s">
        <v>11</v>
      </c>
      <c r="F15" s="165" t="s">
        <v>12</v>
      </c>
      <c r="H15" t="s">
        <v>1076</v>
      </c>
    </row>
    <row r="16" spans="1:8" ht="13.8" thickBot="1" x14ac:dyDescent="0.3">
      <c r="A16" s="18">
        <v>1</v>
      </c>
      <c r="B16" s="418" t="s">
        <v>141</v>
      </c>
      <c r="C16" s="418" t="s">
        <v>142</v>
      </c>
      <c r="D16" s="21">
        <v>1200</v>
      </c>
      <c r="E16" s="22">
        <v>1214.5304984710244</v>
      </c>
      <c r="F16" s="23">
        <v>1214.5304984710244</v>
      </c>
      <c r="H16" t="s">
        <v>1076</v>
      </c>
    </row>
    <row r="17" spans="1:8" ht="13.8" thickBot="1" x14ac:dyDescent="0.3">
      <c r="A17" s="28">
        <v>2</v>
      </c>
      <c r="B17" s="418" t="s">
        <v>143</v>
      </c>
      <c r="C17" s="418" t="s">
        <v>144</v>
      </c>
      <c r="D17" s="21">
        <v>1200</v>
      </c>
      <c r="E17" s="31">
        <v>1199.8765772221348</v>
      </c>
      <c r="F17" s="23">
        <v>1199.8765772221348</v>
      </c>
      <c r="H17" t="s">
        <v>1076</v>
      </c>
    </row>
    <row r="18" spans="1:8" ht="13.8" thickBot="1" x14ac:dyDescent="0.3">
      <c r="A18" s="28">
        <v>3</v>
      </c>
      <c r="B18" s="418" t="s">
        <v>145</v>
      </c>
      <c r="C18" s="418" t="s">
        <v>146</v>
      </c>
      <c r="D18" s="21">
        <v>1200</v>
      </c>
      <c r="E18" s="31">
        <v>1258.4581800415169</v>
      </c>
      <c r="F18" s="23">
        <v>1258.4581800415169</v>
      </c>
      <c r="H18" t="s">
        <v>1076</v>
      </c>
    </row>
    <row r="19" spans="1:8" ht="13.8" thickBot="1" x14ac:dyDescent="0.3">
      <c r="A19" s="28">
        <v>4</v>
      </c>
      <c r="B19" s="418" t="s">
        <v>147</v>
      </c>
      <c r="C19" s="418" t="s">
        <v>148</v>
      </c>
      <c r="D19" s="21">
        <v>1200</v>
      </c>
      <c r="E19" s="31">
        <v>1153.4695015289756</v>
      </c>
      <c r="F19" s="23">
        <v>1153.4695015289756</v>
      </c>
      <c r="H19" t="s">
        <v>1076</v>
      </c>
    </row>
    <row r="20" spans="1:8" ht="13.8" thickBot="1" x14ac:dyDescent="0.3">
      <c r="A20" s="28">
        <v>5</v>
      </c>
      <c r="B20" s="418" t="s">
        <v>149</v>
      </c>
      <c r="C20" s="418" t="s">
        <v>150</v>
      </c>
      <c r="D20" s="21">
        <v>1200</v>
      </c>
      <c r="E20" s="31">
        <v>1246.5304984710244</v>
      </c>
      <c r="F20" s="23">
        <v>1246.5304984710244</v>
      </c>
      <c r="H20" t="s">
        <v>1076</v>
      </c>
    </row>
    <row r="21" spans="1:8" ht="13.8" thickBot="1" x14ac:dyDescent="0.3">
      <c r="A21" s="28">
        <v>6</v>
      </c>
      <c r="B21" s="418" t="s">
        <v>151</v>
      </c>
      <c r="C21" s="418" t="s">
        <v>152</v>
      </c>
      <c r="D21" s="21">
        <v>1200</v>
      </c>
      <c r="E21" s="31">
        <v>1141.6652427363483</v>
      </c>
      <c r="F21" s="23">
        <v>1141.6652427363483</v>
      </c>
      <c r="H21" t="s">
        <v>1076</v>
      </c>
    </row>
    <row r="22" spans="1:8" ht="13.8" thickBot="1" x14ac:dyDescent="0.3">
      <c r="A22" s="28">
        <v>7</v>
      </c>
      <c r="B22" s="418" t="s">
        <v>153</v>
      </c>
      <c r="C22" s="418" t="s">
        <v>154</v>
      </c>
      <c r="D22" s="21">
        <v>1200</v>
      </c>
      <c r="E22" s="31">
        <v>1185.4695015289756</v>
      </c>
      <c r="F22" s="23">
        <v>1185.4695015289756</v>
      </c>
      <c r="H22" t="s">
        <v>1076</v>
      </c>
    </row>
    <row r="23" spans="1:8" x14ac:dyDescent="0.25">
      <c r="A23" s="84" t="s">
        <v>87</v>
      </c>
      <c r="B23" s="81"/>
      <c r="C23" s="81"/>
      <c r="D23" s="85"/>
      <c r="E23" s="81"/>
      <c r="F23" s="81"/>
      <c r="H23" t="s">
        <v>1076</v>
      </c>
    </row>
    <row r="24" spans="1:8" x14ac:dyDescent="0.25">
      <c r="A24" s="81" t="s">
        <v>141</v>
      </c>
      <c r="B24" s="81">
        <v>1214.5304984710244</v>
      </c>
      <c r="C24" s="81"/>
      <c r="D24" s="85"/>
      <c r="E24" s="81"/>
      <c r="F24" s="81"/>
      <c r="H24" t="s">
        <v>1076</v>
      </c>
    </row>
    <row r="25" spans="1:8" x14ac:dyDescent="0.25">
      <c r="A25" s="81" t="s">
        <v>147</v>
      </c>
      <c r="B25" s="81">
        <v>1153.4695015289756</v>
      </c>
      <c r="C25" s="81"/>
      <c r="D25" s="85"/>
      <c r="E25" s="81"/>
      <c r="F25" s="81"/>
      <c r="H25" t="s">
        <v>1076</v>
      </c>
    </row>
    <row r="26" spans="1:8" x14ac:dyDescent="0.25">
      <c r="A26" s="81" t="s">
        <v>149</v>
      </c>
      <c r="B26" s="81">
        <v>1246.5304984710244</v>
      </c>
      <c r="C26" s="81"/>
      <c r="D26" s="85"/>
      <c r="E26" s="81"/>
      <c r="F26" s="81"/>
      <c r="H26" t="s">
        <v>1076</v>
      </c>
    </row>
    <row r="27" spans="1:8" x14ac:dyDescent="0.25">
      <c r="A27" s="81" t="s">
        <v>153</v>
      </c>
      <c r="B27" s="81">
        <v>1185.4695015289756</v>
      </c>
      <c r="C27" s="81"/>
      <c r="D27" s="85"/>
      <c r="E27" s="81"/>
      <c r="F27" s="81"/>
      <c r="H27" t="s">
        <v>1076</v>
      </c>
    </row>
    <row r="28" spans="1:8" ht="13.8" thickBot="1" x14ac:dyDescent="0.3">
      <c r="A28" s="81">
        <v>0</v>
      </c>
      <c r="B28" s="81" t="e">
        <v>#N/A</v>
      </c>
      <c r="C28" s="81"/>
      <c r="D28" s="85"/>
      <c r="E28" s="81"/>
      <c r="F28" s="81"/>
      <c r="H28" t="s">
        <v>1076</v>
      </c>
    </row>
    <row r="29" spans="1:8" ht="13.8" thickBot="1" x14ac:dyDescent="0.3">
      <c r="A29" s="12" t="s">
        <v>7</v>
      </c>
      <c r="B29" s="13" t="s">
        <v>8</v>
      </c>
      <c r="C29" s="14" t="s">
        <v>9</v>
      </c>
      <c r="D29" s="165" t="s">
        <v>10</v>
      </c>
      <c r="E29" s="16" t="s">
        <v>11</v>
      </c>
      <c r="F29" s="165" t="s">
        <v>12</v>
      </c>
      <c r="H29" t="s">
        <v>1079</v>
      </c>
    </row>
    <row r="30" spans="1:8" x14ac:dyDescent="0.25">
      <c r="A30" s="18">
        <v>1</v>
      </c>
      <c r="B30" s="19" t="s">
        <v>161</v>
      </c>
      <c r="C30" s="20" t="s">
        <v>162</v>
      </c>
      <c r="D30" s="21">
        <v>1246.5304984710244</v>
      </c>
      <c r="E30" s="22">
        <v>1264.7519205331801</v>
      </c>
      <c r="F30" s="23">
        <v>1264.7519205331801</v>
      </c>
      <c r="H30" t="s">
        <v>1079</v>
      </c>
    </row>
    <row r="31" spans="1:8" x14ac:dyDescent="0.25">
      <c r="A31" s="28">
        <v>2</v>
      </c>
      <c r="B31" s="19" t="s">
        <v>163</v>
      </c>
      <c r="C31" s="30" t="s">
        <v>164</v>
      </c>
      <c r="D31" s="21">
        <v>1185.4695015289756</v>
      </c>
      <c r="E31" s="31">
        <v>1237.1306917502143</v>
      </c>
      <c r="F31" s="23">
        <v>1237.1306917502143</v>
      </c>
      <c r="H31" t="s">
        <v>1079</v>
      </c>
    </row>
    <row r="32" spans="1:8" x14ac:dyDescent="0.25">
      <c r="A32" s="28">
        <v>3</v>
      </c>
      <c r="B32" s="19" t="s">
        <v>165</v>
      </c>
      <c r="C32" s="30" t="s">
        <v>166</v>
      </c>
      <c r="D32" s="21">
        <v>1151.7348719648749</v>
      </c>
      <c r="E32" s="31">
        <v>1096.3127655480869</v>
      </c>
      <c r="F32" s="23">
        <v>1096.3127655480869</v>
      </c>
      <c r="H32" t="s">
        <v>1079</v>
      </c>
    </row>
    <row r="33" spans="1:8" x14ac:dyDescent="0.25">
      <c r="A33" s="28">
        <v>4</v>
      </c>
      <c r="B33" s="29" t="s">
        <v>159</v>
      </c>
      <c r="C33" s="30" t="s">
        <v>160</v>
      </c>
      <c r="D33" s="21">
        <v>1237.251057639922</v>
      </c>
      <c r="E33" s="31">
        <v>1225.0627938110126</v>
      </c>
      <c r="F33" s="23">
        <v>1225.0627938110126</v>
      </c>
      <c r="H33" t="s">
        <v>1079</v>
      </c>
    </row>
    <row r="34" spans="1:8" x14ac:dyDescent="0.25">
      <c r="A34" s="28">
        <v>5</v>
      </c>
      <c r="B34" s="29" t="s">
        <v>157</v>
      </c>
      <c r="C34" s="30" t="s">
        <v>158</v>
      </c>
      <c r="D34" s="21">
        <v>1340.2864854074439</v>
      </c>
      <c r="E34" s="31">
        <v>1372.0324321944904</v>
      </c>
      <c r="F34" s="23">
        <v>1372.0324321944904</v>
      </c>
      <c r="H34" t="s">
        <v>1079</v>
      </c>
    </row>
    <row r="35" spans="1:8" x14ac:dyDescent="0.25">
      <c r="A35" s="28">
        <v>6</v>
      </c>
      <c r="B35" s="29" t="s">
        <v>167</v>
      </c>
      <c r="C35" s="30" t="s">
        <v>168</v>
      </c>
      <c r="D35" s="21">
        <v>1153.4695015289756</v>
      </c>
      <c r="E35" s="31">
        <v>1157.2304177245248</v>
      </c>
      <c r="F35" s="23">
        <v>1157.2304177245248</v>
      </c>
      <c r="H35" t="s">
        <v>1079</v>
      </c>
    </row>
    <row r="36" spans="1:8" x14ac:dyDescent="0.25">
      <c r="A36" s="28">
        <v>7</v>
      </c>
      <c r="B36" s="29" t="s">
        <v>155</v>
      </c>
      <c r="C36" s="30" t="s">
        <v>156</v>
      </c>
      <c r="D36" s="21">
        <v>1214.5304984710244</v>
      </c>
      <c r="E36" s="31">
        <v>1176.7513934507317</v>
      </c>
      <c r="F36" s="23">
        <v>1176.7513934507317</v>
      </c>
      <c r="H36" t="s">
        <v>1079</v>
      </c>
    </row>
    <row r="37" spans="1:8" x14ac:dyDescent="0.25">
      <c r="A37" s="84" t="s">
        <v>87</v>
      </c>
      <c r="B37" s="81"/>
      <c r="C37" s="81"/>
      <c r="D37" s="85"/>
      <c r="E37" s="81"/>
      <c r="F37" s="81"/>
      <c r="H37" t="s">
        <v>1079</v>
      </c>
    </row>
    <row r="38" spans="1:8" x14ac:dyDescent="0.25">
      <c r="A38" s="81" t="s">
        <v>161</v>
      </c>
      <c r="B38" s="81">
        <v>1264.7519205331801</v>
      </c>
      <c r="C38" s="81"/>
      <c r="D38" s="85"/>
      <c r="E38" s="81"/>
      <c r="F38" s="81"/>
      <c r="H38" t="s">
        <v>1079</v>
      </c>
    </row>
    <row r="39" spans="1:8" x14ac:dyDescent="0.25">
      <c r="A39" s="81" t="s">
        <v>159</v>
      </c>
      <c r="B39" s="81">
        <v>1225.0627938110126</v>
      </c>
      <c r="C39" s="81"/>
      <c r="D39" s="85"/>
      <c r="E39" s="81"/>
      <c r="F39" s="81"/>
      <c r="H39" t="s">
        <v>1079</v>
      </c>
    </row>
    <row r="40" spans="1:8" x14ac:dyDescent="0.25">
      <c r="A40" s="81" t="s">
        <v>157</v>
      </c>
      <c r="B40" s="81">
        <v>1372.0324321944904</v>
      </c>
      <c r="C40" s="81"/>
      <c r="D40" s="85"/>
      <c r="E40" s="81"/>
      <c r="F40" s="81"/>
      <c r="H40" t="s">
        <v>1079</v>
      </c>
    </row>
    <row r="41" spans="1:8" x14ac:dyDescent="0.25">
      <c r="A41" s="81" t="s">
        <v>155</v>
      </c>
      <c r="B41" s="81">
        <v>1176.7513934507317</v>
      </c>
      <c r="C41" s="81"/>
      <c r="D41" s="85"/>
      <c r="E41" s="81"/>
      <c r="F41" s="81"/>
      <c r="H41" t="s">
        <v>1079</v>
      </c>
    </row>
    <row r="42" spans="1:8" ht="13.8" thickBot="1" x14ac:dyDescent="0.3">
      <c r="A42" s="81">
        <v>0</v>
      </c>
      <c r="B42" s="81" t="e">
        <v>#N/A</v>
      </c>
      <c r="C42" s="81"/>
      <c r="D42" s="85"/>
      <c r="E42" s="81"/>
      <c r="F42" s="81"/>
      <c r="H42" t="s">
        <v>1079</v>
      </c>
    </row>
    <row r="43" spans="1:8" ht="13.8" thickBot="1" x14ac:dyDescent="0.3">
      <c r="A43" s="12" t="s">
        <v>7</v>
      </c>
      <c r="B43" s="13" t="s">
        <v>8</v>
      </c>
      <c r="C43" s="14" t="s">
        <v>9</v>
      </c>
      <c r="D43" s="165" t="s">
        <v>10</v>
      </c>
      <c r="E43" s="16" t="s">
        <v>11</v>
      </c>
      <c r="F43" s="165" t="s">
        <v>12</v>
      </c>
      <c r="H43" t="s">
        <v>1078</v>
      </c>
    </row>
    <row r="44" spans="1:8" ht="13.8" thickBot="1" x14ac:dyDescent="0.3">
      <c r="A44" s="18">
        <v>1</v>
      </c>
      <c r="B44" s="418" t="s">
        <v>155</v>
      </c>
      <c r="C44" s="418" t="s">
        <v>156</v>
      </c>
      <c r="D44" s="21">
        <v>1200</v>
      </c>
      <c r="E44" s="22">
        <v>1214.5304984710244</v>
      </c>
      <c r="F44" s="23">
        <v>1214.5304984710244</v>
      </c>
      <c r="H44" t="s">
        <v>1078</v>
      </c>
    </row>
    <row r="45" spans="1:8" ht="13.8" thickBot="1" x14ac:dyDescent="0.3">
      <c r="A45" s="28">
        <v>2</v>
      </c>
      <c r="B45" s="418" t="s">
        <v>157</v>
      </c>
      <c r="C45" s="418" t="s">
        <v>158</v>
      </c>
      <c r="D45" s="21">
        <v>1329.272415012241</v>
      </c>
      <c r="E45" s="31">
        <v>1340.2864854074439</v>
      </c>
      <c r="F45" s="23">
        <v>1340.2864854074439</v>
      </c>
      <c r="H45" t="s">
        <v>1078</v>
      </c>
    </row>
    <row r="46" spans="1:8" ht="13.8" thickBot="1" x14ac:dyDescent="0.3">
      <c r="A46" s="28">
        <v>3</v>
      </c>
      <c r="B46" s="418" t="s">
        <v>159</v>
      </c>
      <c r="C46" s="418" t="s">
        <v>160</v>
      </c>
      <c r="D46" s="21">
        <v>1200</v>
      </c>
      <c r="E46" s="31">
        <v>1237.251057639922</v>
      </c>
      <c r="F46" s="23">
        <v>1237.251057639922</v>
      </c>
      <c r="H46" t="s">
        <v>1078</v>
      </c>
    </row>
    <row r="47" spans="1:8" ht="13.8" thickBot="1" x14ac:dyDescent="0.3">
      <c r="A47" s="28">
        <v>4</v>
      </c>
      <c r="B47" s="418" t="s">
        <v>161</v>
      </c>
      <c r="C47" s="418" t="s">
        <v>162</v>
      </c>
      <c r="D47" s="21">
        <v>1200</v>
      </c>
      <c r="E47" s="31">
        <v>1246.5304984710244</v>
      </c>
      <c r="F47" s="23">
        <v>1246.5304984710244</v>
      </c>
      <c r="H47" t="s">
        <v>1078</v>
      </c>
    </row>
    <row r="48" spans="1:8" ht="13.8" thickBot="1" x14ac:dyDescent="0.3">
      <c r="A48" s="28">
        <v>5</v>
      </c>
      <c r="B48" s="418" t="s">
        <v>163</v>
      </c>
      <c r="C48" s="418" t="s">
        <v>164</v>
      </c>
      <c r="D48" s="21">
        <v>1200</v>
      </c>
      <c r="E48" s="31">
        <v>1185.4695015289756</v>
      </c>
      <c r="F48" s="23">
        <v>1185.4695015289756</v>
      </c>
      <c r="H48" t="s">
        <v>1078</v>
      </c>
    </row>
    <row r="49" spans="1:8" ht="13.8" thickBot="1" x14ac:dyDescent="0.3">
      <c r="A49" s="28">
        <v>6</v>
      </c>
      <c r="B49" s="418" t="s">
        <v>165</v>
      </c>
      <c r="C49" s="418" t="s">
        <v>166</v>
      </c>
      <c r="D49" s="21">
        <v>1200</v>
      </c>
      <c r="E49" s="31">
        <v>1151.7348719648749</v>
      </c>
      <c r="F49" s="23">
        <v>1151.7348719648749</v>
      </c>
      <c r="H49" t="s">
        <v>1078</v>
      </c>
    </row>
    <row r="50" spans="1:8" ht="13.8" thickBot="1" x14ac:dyDescent="0.3">
      <c r="A50" s="28">
        <v>7</v>
      </c>
      <c r="B50" s="418" t="s">
        <v>167</v>
      </c>
      <c r="C50" s="418" t="s">
        <v>168</v>
      </c>
      <c r="D50" s="21">
        <v>1200</v>
      </c>
      <c r="E50" s="31">
        <v>1153.4695015289756</v>
      </c>
      <c r="F50" s="23">
        <v>1153.4695015289756</v>
      </c>
      <c r="H50" t="s">
        <v>1078</v>
      </c>
    </row>
    <row r="51" spans="1:8" x14ac:dyDescent="0.25">
      <c r="A51" s="84" t="s">
        <v>87</v>
      </c>
      <c r="B51" s="81"/>
      <c r="C51" s="81"/>
      <c r="D51" s="85"/>
      <c r="E51" s="81"/>
      <c r="F51" s="81"/>
      <c r="H51" t="s">
        <v>1078</v>
      </c>
    </row>
    <row r="52" spans="1:8" x14ac:dyDescent="0.25">
      <c r="A52" s="81" t="s">
        <v>155</v>
      </c>
      <c r="B52" s="81">
        <v>1214.5304984710244</v>
      </c>
      <c r="C52" s="81"/>
      <c r="D52" s="85"/>
      <c r="E52" s="81"/>
      <c r="F52" s="81"/>
      <c r="H52" t="s">
        <v>1078</v>
      </c>
    </row>
    <row r="53" spans="1:8" x14ac:dyDescent="0.25">
      <c r="A53" s="81" t="s">
        <v>161</v>
      </c>
      <c r="B53" s="81">
        <v>1246.5304984710244</v>
      </c>
      <c r="C53" s="81"/>
      <c r="D53" s="85"/>
      <c r="E53" s="81"/>
      <c r="F53" s="81"/>
      <c r="H53" t="s">
        <v>1078</v>
      </c>
    </row>
    <row r="54" spans="1:8" x14ac:dyDescent="0.25">
      <c r="A54" s="81" t="s">
        <v>163</v>
      </c>
      <c r="B54" s="81">
        <v>1185.4695015289756</v>
      </c>
      <c r="C54" s="81"/>
      <c r="D54" s="85"/>
      <c r="E54" s="81"/>
      <c r="F54" s="81"/>
      <c r="H54" t="s">
        <v>1078</v>
      </c>
    </row>
    <row r="55" spans="1:8" x14ac:dyDescent="0.25">
      <c r="A55" s="81" t="s">
        <v>167</v>
      </c>
      <c r="B55" s="81">
        <v>1153.4695015289756</v>
      </c>
      <c r="C55" s="81"/>
      <c r="D55" s="85"/>
      <c r="E55" s="81"/>
      <c r="F55" s="81"/>
      <c r="H55" t="s">
        <v>1078</v>
      </c>
    </row>
    <row r="56" spans="1:8" x14ac:dyDescent="0.25">
      <c r="A56" s="81">
        <v>0</v>
      </c>
      <c r="B56" s="81" t="e">
        <v>#N/A</v>
      </c>
      <c r="C56" s="81"/>
      <c r="D56" s="85"/>
      <c r="E56" s="81"/>
      <c r="F56" s="81"/>
      <c r="H56" t="s">
        <v>1078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2"/>
  <sheetViews>
    <sheetView workbookViewId="0">
      <pane ySplit="1" topLeftCell="A383" activePane="bottomLeft" state="frozen"/>
      <selection pane="bottomLeft" activeCell="A406" sqref="A406:XFD422"/>
    </sheetView>
  </sheetViews>
  <sheetFormatPr defaultColWidth="9.109375" defaultRowHeight="14.4" x14ac:dyDescent="0.3"/>
  <cols>
    <col min="1" max="1" width="5.44140625" style="420" customWidth="1"/>
    <col min="2" max="2" width="2" style="420" customWidth="1"/>
    <col min="3" max="3" width="3" style="420" customWidth="1"/>
    <col min="4" max="4" width="5.33203125" style="420" customWidth="1"/>
    <col min="5" max="5" width="4.44140625" style="420" customWidth="1"/>
    <col min="6" max="6" width="7.109375" style="420" customWidth="1"/>
    <col min="7" max="7" width="13.88671875" style="420" customWidth="1"/>
    <col min="8" max="8" width="36.88671875" style="420" customWidth="1"/>
    <col min="9" max="9" width="28.44140625" style="420" customWidth="1"/>
    <col min="10" max="10" width="5.6640625" style="420" customWidth="1"/>
    <col min="11" max="11" width="13.88671875" style="421" customWidth="1"/>
    <col min="12" max="12" width="5" style="420" customWidth="1"/>
    <col min="13" max="13" width="10" style="421" customWidth="1"/>
    <col min="14" max="27" width="7.5546875" style="420" customWidth="1"/>
    <col min="28" max="33" width="9.109375" style="420"/>
    <col min="34" max="35" width="12" style="424" customWidth="1"/>
    <col min="36" max="16384" width="9.109375" style="420"/>
  </cols>
  <sheetData>
    <row r="1" spans="1:27" ht="27" x14ac:dyDescent="0.3">
      <c r="A1" s="419" t="s">
        <v>169</v>
      </c>
      <c r="C1" s="420" t="s">
        <v>170</v>
      </c>
      <c r="D1" s="420" t="s">
        <v>171</v>
      </c>
      <c r="E1" s="420" t="s">
        <v>15</v>
      </c>
      <c r="F1" s="420" t="s">
        <v>172</v>
      </c>
      <c r="G1" s="420" t="s">
        <v>173</v>
      </c>
      <c r="H1" s="420" t="s">
        <v>174</v>
      </c>
      <c r="I1" s="420" t="s">
        <v>8</v>
      </c>
      <c r="J1" s="420" t="s">
        <v>175</v>
      </c>
      <c r="K1" s="421" t="s">
        <v>176</v>
      </c>
      <c r="M1" s="421" t="s">
        <v>88</v>
      </c>
      <c r="N1" s="422" t="s">
        <v>177</v>
      </c>
      <c r="O1" s="422" t="s">
        <v>178</v>
      </c>
      <c r="P1" s="422" t="s">
        <v>179</v>
      </c>
      <c r="Q1" s="422" t="s">
        <v>180</v>
      </c>
      <c r="R1" s="422" t="s">
        <v>181</v>
      </c>
      <c r="S1" s="422" t="s">
        <v>182</v>
      </c>
      <c r="T1" s="422" t="s">
        <v>183</v>
      </c>
      <c r="U1" s="422" t="s">
        <v>184</v>
      </c>
      <c r="V1" s="422" t="s">
        <v>185</v>
      </c>
      <c r="W1" s="422" t="s">
        <v>186</v>
      </c>
      <c r="X1" s="422" t="s">
        <v>187</v>
      </c>
      <c r="Y1" s="422" t="s">
        <v>188</v>
      </c>
      <c r="Z1" s="422" t="s">
        <v>189</v>
      </c>
      <c r="AA1" s="422" t="s">
        <v>190</v>
      </c>
    </row>
    <row r="2" spans="1:27" x14ac:dyDescent="0.3">
      <c r="A2" s="420">
        <v>2</v>
      </c>
      <c r="C2" s="420">
        <f t="shared" ref="C2:C65" si="0">IF(E2=E1,C1+1,1)</f>
        <v>1</v>
      </c>
      <c r="D2" s="420">
        <f t="shared" ref="D2:D65" si="1">IF(K2=K1,D1,C2)</f>
        <v>1</v>
      </c>
      <c r="E2" s="420">
        <f t="shared" ref="E2:E65" si="2">10+VALUE(RIGHT(LEFT(G2,3),1))</f>
        <v>11</v>
      </c>
      <c r="F2" s="420" t="str">
        <f t="shared" ref="F2:F65" si="3">RIGHT(G2,2) &amp; IF(A2&lt;2,"x","")</f>
        <v>pm</v>
      </c>
      <c r="G2" s="420" t="s">
        <v>191</v>
      </c>
      <c r="H2" s="420" t="s">
        <v>192</v>
      </c>
      <c r="I2" s="420" t="s">
        <v>193</v>
      </c>
      <c r="K2" s="421">
        <f t="shared" ref="K2:K65" si="4">LOOKUP(1E+100,M2:AB2)</f>
        <v>1545.059815930156</v>
      </c>
      <c r="M2" s="421">
        <v>1600</v>
      </c>
      <c r="P2" s="420">
        <v>1545.059815930156</v>
      </c>
    </row>
    <row r="3" spans="1:27" x14ac:dyDescent="0.3">
      <c r="A3" s="420">
        <v>2</v>
      </c>
      <c r="C3" s="420">
        <f t="shared" si="0"/>
        <v>2</v>
      </c>
      <c r="D3" s="420">
        <f t="shared" si="1"/>
        <v>2</v>
      </c>
      <c r="E3" s="420">
        <f t="shared" si="2"/>
        <v>11</v>
      </c>
      <c r="F3" s="420" t="str">
        <f t="shared" si="3"/>
        <v>pm</v>
      </c>
      <c r="G3" s="420" t="s">
        <v>194</v>
      </c>
      <c r="H3" s="420" t="s">
        <v>192</v>
      </c>
      <c r="I3" s="420" t="s">
        <v>195</v>
      </c>
      <c r="K3" s="421">
        <f t="shared" si="4"/>
        <v>1493.4578356862332</v>
      </c>
      <c r="M3" s="421">
        <v>1600</v>
      </c>
      <c r="P3" s="420">
        <v>1493.4578356862332</v>
      </c>
    </row>
    <row r="4" spans="1:27" x14ac:dyDescent="0.3">
      <c r="A4" s="420">
        <v>2</v>
      </c>
      <c r="C4" s="420">
        <f t="shared" si="0"/>
        <v>3</v>
      </c>
      <c r="D4" s="420">
        <f t="shared" si="1"/>
        <v>3</v>
      </c>
      <c r="E4" s="420">
        <f t="shared" si="2"/>
        <v>11</v>
      </c>
      <c r="F4" s="420" t="str">
        <f t="shared" si="3"/>
        <v>cr</v>
      </c>
      <c r="G4" s="420" t="s">
        <v>196</v>
      </c>
      <c r="H4" s="420" t="s">
        <v>197</v>
      </c>
      <c r="I4" s="420" t="s">
        <v>198</v>
      </c>
      <c r="K4" s="421">
        <f t="shared" si="4"/>
        <v>1300</v>
      </c>
      <c r="M4" s="421">
        <v>1300</v>
      </c>
    </row>
    <row r="5" spans="1:27" x14ac:dyDescent="0.3">
      <c r="A5" s="420">
        <v>2</v>
      </c>
      <c r="C5" s="420">
        <f t="shared" si="0"/>
        <v>4</v>
      </c>
      <c r="D5" s="420">
        <f t="shared" si="1"/>
        <v>4</v>
      </c>
      <c r="E5" s="420">
        <f t="shared" si="2"/>
        <v>11</v>
      </c>
      <c r="F5" s="420" t="str">
        <f t="shared" si="3"/>
        <v>pm</v>
      </c>
      <c r="G5" s="420" t="s">
        <v>199</v>
      </c>
      <c r="H5" s="420" t="s">
        <v>200</v>
      </c>
      <c r="I5" s="420" t="s">
        <v>201</v>
      </c>
      <c r="K5" s="421">
        <f t="shared" si="4"/>
        <v>1200</v>
      </c>
      <c r="M5" s="421">
        <v>1200</v>
      </c>
    </row>
    <row r="6" spans="1:27" x14ac:dyDescent="0.3">
      <c r="A6" s="420">
        <v>3</v>
      </c>
      <c r="C6" s="420">
        <f t="shared" si="0"/>
        <v>5</v>
      </c>
      <c r="D6" s="420">
        <f t="shared" si="1"/>
        <v>4</v>
      </c>
      <c r="E6" s="420">
        <f t="shared" si="2"/>
        <v>11</v>
      </c>
      <c r="F6" s="420" t="str">
        <f t="shared" si="3"/>
        <v>cr</v>
      </c>
      <c r="G6" s="420" t="s">
        <v>202</v>
      </c>
      <c r="H6" s="420" t="s">
        <v>203</v>
      </c>
      <c r="I6" s="420" t="s">
        <v>204</v>
      </c>
      <c r="K6" s="421">
        <f t="shared" si="4"/>
        <v>1200</v>
      </c>
      <c r="M6" s="421">
        <v>1200</v>
      </c>
    </row>
    <row r="7" spans="1:27" x14ac:dyDescent="0.3">
      <c r="A7" s="420">
        <v>1</v>
      </c>
      <c r="C7" s="420">
        <f t="shared" si="0"/>
        <v>1</v>
      </c>
      <c r="D7" s="420">
        <f t="shared" si="1"/>
        <v>1</v>
      </c>
      <c r="E7" s="420">
        <f t="shared" si="2"/>
        <v>12</v>
      </c>
      <c r="F7" s="420" t="str">
        <f t="shared" si="3"/>
        <v>pmx</v>
      </c>
      <c r="G7" s="420" t="s">
        <v>205</v>
      </c>
      <c r="H7" s="420" t="s">
        <v>206</v>
      </c>
      <c r="I7" s="420" t="s">
        <v>207</v>
      </c>
      <c r="K7" s="421">
        <f t="shared" si="4"/>
        <v>1616.4772022793688</v>
      </c>
      <c r="M7" s="421">
        <v>1600</v>
      </c>
      <c r="P7" s="420">
        <v>1616.4772022793688</v>
      </c>
    </row>
    <row r="8" spans="1:27" x14ac:dyDescent="0.3">
      <c r="A8" s="420">
        <v>1</v>
      </c>
      <c r="C8" s="420">
        <f t="shared" si="0"/>
        <v>2</v>
      </c>
      <c r="D8" s="420">
        <f t="shared" si="1"/>
        <v>2</v>
      </c>
      <c r="E8" s="420">
        <f t="shared" si="2"/>
        <v>12</v>
      </c>
      <c r="F8" s="420" t="str">
        <f t="shared" si="3"/>
        <v>pmx</v>
      </c>
      <c r="G8" s="420" t="s">
        <v>208</v>
      </c>
      <c r="H8" s="420" t="s">
        <v>200</v>
      </c>
      <c r="I8" s="420" t="s">
        <v>209</v>
      </c>
      <c r="K8" s="421">
        <f t="shared" si="4"/>
        <v>1686.8133258533544</v>
      </c>
      <c r="M8" s="421">
        <v>1600</v>
      </c>
      <c r="P8" s="420">
        <v>1686.8133258533544</v>
      </c>
    </row>
    <row r="9" spans="1:27" x14ac:dyDescent="0.3">
      <c r="A9" s="420">
        <v>1</v>
      </c>
      <c r="C9" s="420">
        <f t="shared" si="0"/>
        <v>3</v>
      </c>
      <c r="D9" s="420">
        <f t="shared" si="1"/>
        <v>3</v>
      </c>
      <c r="E9" s="420">
        <f t="shared" si="2"/>
        <v>12</v>
      </c>
      <c r="F9" s="420" t="str">
        <f t="shared" si="3"/>
        <v>pmx</v>
      </c>
      <c r="G9" s="420" t="s">
        <v>210</v>
      </c>
      <c r="H9" s="420" t="s">
        <v>192</v>
      </c>
      <c r="I9" s="420" t="s">
        <v>211</v>
      </c>
      <c r="K9" s="421">
        <f t="shared" si="4"/>
        <v>1623.5670820023893</v>
      </c>
      <c r="M9" s="421">
        <v>1600</v>
      </c>
      <c r="P9" s="420">
        <v>1623.5670820023893</v>
      </c>
    </row>
    <row r="10" spans="1:27" x14ac:dyDescent="0.3">
      <c r="A10" s="420">
        <v>1</v>
      </c>
      <c r="C10" s="420">
        <f t="shared" si="0"/>
        <v>4</v>
      </c>
      <c r="D10" s="420">
        <f t="shared" si="1"/>
        <v>4</v>
      </c>
      <c r="E10" s="420">
        <f t="shared" si="2"/>
        <v>12</v>
      </c>
      <c r="F10" s="420" t="str">
        <f t="shared" si="3"/>
        <v>pmx</v>
      </c>
      <c r="G10" s="420" t="s">
        <v>212</v>
      </c>
      <c r="H10" s="420" t="s">
        <v>192</v>
      </c>
      <c r="I10" s="420" t="s">
        <v>213</v>
      </c>
      <c r="K10" s="421">
        <f t="shared" si="4"/>
        <v>1566.0787998096826</v>
      </c>
      <c r="M10" s="421">
        <v>1600</v>
      </c>
      <c r="P10" s="420">
        <v>1566.0787998096826</v>
      </c>
    </row>
    <row r="11" spans="1:27" x14ac:dyDescent="0.3">
      <c r="A11" s="420">
        <v>2</v>
      </c>
      <c r="C11" s="420">
        <f t="shared" si="0"/>
        <v>5</v>
      </c>
      <c r="D11" s="420">
        <f t="shared" si="1"/>
        <v>5</v>
      </c>
      <c r="E11" s="420">
        <f t="shared" si="2"/>
        <v>12</v>
      </c>
      <c r="F11" s="420" t="str">
        <f t="shared" si="3"/>
        <v>pm</v>
      </c>
      <c r="G11" s="420" t="s">
        <v>214</v>
      </c>
      <c r="H11" s="420" t="s">
        <v>215</v>
      </c>
      <c r="I11" s="420" t="s">
        <v>216</v>
      </c>
      <c r="K11" s="421">
        <f t="shared" si="4"/>
        <v>1672.0912540760935</v>
      </c>
      <c r="M11" s="421">
        <v>1600</v>
      </c>
      <c r="P11" s="420">
        <v>1672.0912540760935</v>
      </c>
    </row>
    <row r="12" spans="1:27" x14ac:dyDescent="0.3">
      <c r="A12" s="420">
        <v>2</v>
      </c>
      <c r="C12" s="420">
        <f t="shared" si="0"/>
        <v>6</v>
      </c>
      <c r="D12" s="420">
        <f t="shared" si="1"/>
        <v>6</v>
      </c>
      <c r="E12" s="420">
        <f t="shared" si="2"/>
        <v>12</v>
      </c>
      <c r="F12" s="420" t="str">
        <f t="shared" si="3"/>
        <v>pm</v>
      </c>
      <c r="G12" s="420" t="s">
        <v>217</v>
      </c>
      <c r="H12" s="420" t="s">
        <v>218</v>
      </c>
      <c r="I12" s="420" t="s">
        <v>219</v>
      </c>
      <c r="K12" s="421">
        <f t="shared" si="4"/>
        <v>1600</v>
      </c>
      <c r="M12" s="421">
        <v>1600</v>
      </c>
    </row>
    <row r="13" spans="1:27" x14ac:dyDescent="0.3">
      <c r="A13" s="420">
        <v>1</v>
      </c>
      <c r="C13" s="420">
        <f t="shared" si="0"/>
        <v>7</v>
      </c>
      <c r="D13" s="420">
        <f t="shared" si="1"/>
        <v>6</v>
      </c>
      <c r="E13" s="420">
        <f t="shared" si="2"/>
        <v>12</v>
      </c>
      <c r="F13" s="420" t="str">
        <f t="shared" si="3"/>
        <v>pmx</v>
      </c>
      <c r="G13" s="420" t="s">
        <v>220</v>
      </c>
      <c r="H13" s="420" t="s">
        <v>221</v>
      </c>
      <c r="I13" s="420" t="s">
        <v>222</v>
      </c>
      <c r="K13" s="421">
        <f t="shared" si="4"/>
        <v>1600</v>
      </c>
      <c r="M13" s="421">
        <v>1600</v>
      </c>
    </row>
    <row r="14" spans="1:27" x14ac:dyDescent="0.3">
      <c r="A14" s="420">
        <v>5</v>
      </c>
      <c r="C14" s="420">
        <f t="shared" si="0"/>
        <v>8</v>
      </c>
      <c r="D14" s="420">
        <f t="shared" si="1"/>
        <v>8</v>
      </c>
      <c r="E14" s="420">
        <f t="shared" si="2"/>
        <v>12</v>
      </c>
      <c r="F14" s="420" t="str">
        <f t="shared" si="3"/>
        <v>pm</v>
      </c>
      <c r="G14" s="420" t="s">
        <v>223</v>
      </c>
      <c r="H14" s="420" t="s">
        <v>224</v>
      </c>
      <c r="I14" s="420" t="s">
        <v>225</v>
      </c>
      <c r="K14" s="421">
        <f t="shared" si="4"/>
        <v>1579.4211609843667</v>
      </c>
      <c r="M14" s="421">
        <v>1600</v>
      </c>
      <c r="O14" s="420">
        <v>1579.4211609843667</v>
      </c>
    </row>
    <row r="15" spans="1:27" x14ac:dyDescent="0.3">
      <c r="A15" s="420">
        <v>2</v>
      </c>
      <c r="C15" s="420">
        <f t="shared" si="0"/>
        <v>9</v>
      </c>
      <c r="D15" s="420">
        <f t="shared" si="1"/>
        <v>9</v>
      </c>
      <c r="E15" s="420">
        <f t="shared" si="2"/>
        <v>12</v>
      </c>
      <c r="F15" s="420" t="str">
        <f t="shared" si="3"/>
        <v>pm</v>
      </c>
      <c r="G15" s="420" t="s">
        <v>226</v>
      </c>
      <c r="H15" s="420" t="s">
        <v>227</v>
      </c>
      <c r="I15" s="420" t="s">
        <v>228</v>
      </c>
      <c r="K15" s="421">
        <f t="shared" si="4"/>
        <v>1701.529408586621</v>
      </c>
      <c r="M15" s="421">
        <v>1600</v>
      </c>
      <c r="O15" s="420">
        <v>1701.529408586621</v>
      </c>
    </row>
    <row r="16" spans="1:27" x14ac:dyDescent="0.3">
      <c r="A16" s="420">
        <v>5</v>
      </c>
      <c r="C16" s="420">
        <f t="shared" si="0"/>
        <v>10</v>
      </c>
      <c r="D16" s="420">
        <f t="shared" si="1"/>
        <v>10</v>
      </c>
      <c r="E16" s="420">
        <f t="shared" si="2"/>
        <v>12</v>
      </c>
      <c r="F16" s="420" t="str">
        <f t="shared" si="3"/>
        <v>pm</v>
      </c>
      <c r="G16" s="420" t="s">
        <v>229</v>
      </c>
      <c r="H16" s="420" t="s">
        <v>215</v>
      </c>
      <c r="I16" s="420" t="s">
        <v>230</v>
      </c>
      <c r="K16" s="421">
        <f t="shared" si="4"/>
        <v>1620.0506756248978</v>
      </c>
      <c r="M16" s="421">
        <v>1520</v>
      </c>
      <c r="P16" s="420">
        <v>1620.0506756248978</v>
      </c>
    </row>
    <row r="17" spans="1:16" x14ac:dyDescent="0.3">
      <c r="A17" s="420">
        <v>5</v>
      </c>
      <c r="C17" s="420">
        <f t="shared" si="0"/>
        <v>11</v>
      </c>
      <c r="D17" s="420">
        <f t="shared" si="1"/>
        <v>11</v>
      </c>
      <c r="E17" s="420">
        <f t="shared" si="2"/>
        <v>12</v>
      </c>
      <c r="F17" s="420" t="str">
        <f t="shared" si="3"/>
        <v>pm</v>
      </c>
      <c r="G17" s="420" t="s">
        <v>231</v>
      </c>
      <c r="H17" s="420" t="s">
        <v>215</v>
      </c>
      <c r="I17" s="420" t="s">
        <v>232</v>
      </c>
      <c r="K17" s="421">
        <f t="shared" si="4"/>
        <v>1493.8800484266853</v>
      </c>
      <c r="M17" s="421">
        <v>1520</v>
      </c>
      <c r="P17" s="420">
        <v>1493.8800484266853</v>
      </c>
    </row>
    <row r="18" spans="1:16" x14ac:dyDescent="0.3">
      <c r="A18" s="420">
        <v>3</v>
      </c>
      <c r="C18" s="420">
        <f t="shared" si="0"/>
        <v>12</v>
      </c>
      <c r="D18" s="420">
        <f t="shared" si="1"/>
        <v>12</v>
      </c>
      <c r="E18" s="420">
        <f t="shared" si="2"/>
        <v>12</v>
      </c>
      <c r="F18" s="420" t="str">
        <f t="shared" si="3"/>
        <v>pm</v>
      </c>
      <c r="G18" s="420" t="s">
        <v>233</v>
      </c>
      <c r="H18" s="420" t="s">
        <v>215</v>
      </c>
      <c r="I18" s="420" t="s">
        <v>234</v>
      </c>
      <c r="K18" s="421">
        <f t="shared" si="4"/>
        <v>1389.1906269778058</v>
      </c>
      <c r="M18" s="421">
        <v>1466.6666666666667</v>
      </c>
      <c r="P18" s="420">
        <v>1389.1906269778058</v>
      </c>
    </row>
    <row r="19" spans="1:16" x14ac:dyDescent="0.3">
      <c r="A19" s="420">
        <v>6</v>
      </c>
      <c r="C19" s="420">
        <f t="shared" si="0"/>
        <v>13</v>
      </c>
      <c r="D19" s="420">
        <f t="shared" si="1"/>
        <v>13</v>
      </c>
      <c r="E19" s="420">
        <f t="shared" si="2"/>
        <v>12</v>
      </c>
      <c r="F19" s="420" t="str">
        <f t="shared" si="3"/>
        <v>pm</v>
      </c>
      <c r="G19" s="420" t="s">
        <v>158</v>
      </c>
      <c r="H19" s="420" t="s">
        <v>224</v>
      </c>
      <c r="I19" s="420" t="s">
        <v>235</v>
      </c>
      <c r="K19" s="421">
        <f t="shared" si="4"/>
        <v>1329.272415012241</v>
      </c>
      <c r="M19" s="421">
        <v>1433.3333333333333</v>
      </c>
      <c r="P19" s="420">
        <v>1329.272415012241</v>
      </c>
    </row>
    <row r="20" spans="1:16" x14ac:dyDescent="0.3">
      <c r="A20" s="420">
        <v>1</v>
      </c>
      <c r="C20" s="420">
        <f t="shared" si="0"/>
        <v>14</v>
      </c>
      <c r="D20" s="420">
        <f t="shared" si="1"/>
        <v>14</v>
      </c>
      <c r="E20" s="420">
        <f t="shared" si="2"/>
        <v>12</v>
      </c>
      <c r="F20" s="420" t="str">
        <f t="shared" si="3"/>
        <v>pmx</v>
      </c>
      <c r="G20" s="420" t="s">
        <v>236</v>
      </c>
      <c r="H20" s="420" t="s">
        <v>237</v>
      </c>
      <c r="I20" s="420" t="s">
        <v>238</v>
      </c>
      <c r="K20" s="421">
        <f t="shared" si="4"/>
        <v>1400</v>
      </c>
      <c r="M20" s="421">
        <v>1400</v>
      </c>
    </row>
    <row r="21" spans="1:16" x14ac:dyDescent="0.3">
      <c r="A21" s="420">
        <v>2</v>
      </c>
      <c r="C21" s="420">
        <f t="shared" si="0"/>
        <v>15</v>
      </c>
      <c r="D21" s="420">
        <f t="shared" si="1"/>
        <v>14</v>
      </c>
      <c r="E21" s="420">
        <f t="shared" si="2"/>
        <v>12</v>
      </c>
      <c r="F21" s="420" t="str">
        <f t="shared" si="3"/>
        <v>pm</v>
      </c>
      <c r="G21" s="420" t="s">
        <v>239</v>
      </c>
      <c r="H21" s="420" t="s">
        <v>240</v>
      </c>
      <c r="I21" s="420" t="s">
        <v>241</v>
      </c>
      <c r="K21" s="421">
        <f t="shared" si="4"/>
        <v>1400</v>
      </c>
      <c r="M21" s="421">
        <v>1400</v>
      </c>
    </row>
    <row r="22" spans="1:16" x14ac:dyDescent="0.3">
      <c r="A22" s="420">
        <v>3</v>
      </c>
      <c r="C22" s="420">
        <f t="shared" si="0"/>
        <v>16</v>
      </c>
      <c r="D22" s="420">
        <f t="shared" si="1"/>
        <v>16</v>
      </c>
      <c r="E22" s="420">
        <f t="shared" si="2"/>
        <v>12</v>
      </c>
      <c r="F22" s="420" t="str">
        <f t="shared" si="3"/>
        <v>pm</v>
      </c>
      <c r="G22" s="420" t="s">
        <v>242</v>
      </c>
      <c r="H22" s="420" t="s">
        <v>243</v>
      </c>
      <c r="I22" s="420" t="s">
        <v>244</v>
      </c>
      <c r="K22" s="421">
        <f t="shared" si="4"/>
        <v>1531.3017091550601</v>
      </c>
      <c r="M22" s="421">
        <v>1400</v>
      </c>
      <c r="N22" s="420">
        <v>1476.3698763802292</v>
      </c>
      <c r="P22" s="420">
        <v>1531.3017091550601</v>
      </c>
    </row>
    <row r="23" spans="1:16" x14ac:dyDescent="0.3">
      <c r="A23" s="420">
        <v>3</v>
      </c>
      <c r="C23" s="420">
        <f t="shared" si="0"/>
        <v>17</v>
      </c>
      <c r="D23" s="420">
        <f t="shared" si="1"/>
        <v>17</v>
      </c>
      <c r="E23" s="420">
        <f t="shared" si="2"/>
        <v>12</v>
      </c>
      <c r="F23" s="420" t="str">
        <f t="shared" si="3"/>
        <v>pm</v>
      </c>
      <c r="G23" s="420" t="s">
        <v>245</v>
      </c>
      <c r="H23" s="420" t="s">
        <v>243</v>
      </c>
      <c r="I23" s="420" t="s">
        <v>246</v>
      </c>
      <c r="K23" s="421">
        <f t="shared" si="4"/>
        <v>1537.3802077651519</v>
      </c>
      <c r="M23" s="421">
        <v>1400</v>
      </c>
      <c r="N23" s="420">
        <v>1447.5815954545844</v>
      </c>
      <c r="P23" s="420">
        <v>1537.3802077651519</v>
      </c>
    </row>
    <row r="24" spans="1:16" x14ac:dyDescent="0.3">
      <c r="A24" s="420">
        <v>3</v>
      </c>
      <c r="C24" s="420">
        <f t="shared" si="0"/>
        <v>18</v>
      </c>
      <c r="D24" s="420">
        <f t="shared" si="1"/>
        <v>18</v>
      </c>
      <c r="E24" s="420">
        <f t="shared" si="2"/>
        <v>12</v>
      </c>
      <c r="F24" s="420" t="str">
        <f t="shared" si="3"/>
        <v>pm</v>
      </c>
      <c r="G24" s="420" t="s">
        <v>247</v>
      </c>
      <c r="H24" s="420" t="s">
        <v>243</v>
      </c>
      <c r="I24" s="420" t="s">
        <v>248</v>
      </c>
      <c r="K24" s="421">
        <f t="shared" si="4"/>
        <v>1357.2341324310933</v>
      </c>
      <c r="M24" s="421">
        <v>1400</v>
      </c>
      <c r="P24" s="420">
        <v>1357.2341324310933</v>
      </c>
    </row>
    <row r="25" spans="1:16" x14ac:dyDescent="0.3">
      <c r="A25" s="420">
        <v>2</v>
      </c>
      <c r="C25" s="420">
        <f t="shared" si="0"/>
        <v>19</v>
      </c>
      <c r="D25" s="420">
        <f t="shared" si="1"/>
        <v>19</v>
      </c>
      <c r="E25" s="420">
        <f t="shared" si="2"/>
        <v>12</v>
      </c>
      <c r="F25" s="420" t="str">
        <f t="shared" si="3"/>
        <v>pm</v>
      </c>
      <c r="G25" s="420" t="s">
        <v>249</v>
      </c>
      <c r="H25" s="420" t="s">
        <v>250</v>
      </c>
      <c r="I25" s="420" t="s">
        <v>251</v>
      </c>
      <c r="K25" s="421">
        <f t="shared" si="4"/>
        <v>1350.0578538073637</v>
      </c>
      <c r="M25" s="421">
        <v>1400</v>
      </c>
      <c r="N25" s="420">
        <v>1350.0578538073637</v>
      </c>
    </row>
    <row r="26" spans="1:16" x14ac:dyDescent="0.3">
      <c r="A26" s="420">
        <v>4</v>
      </c>
      <c r="C26" s="420">
        <f t="shared" si="0"/>
        <v>20</v>
      </c>
      <c r="D26" s="420">
        <f t="shared" si="1"/>
        <v>20</v>
      </c>
      <c r="E26" s="420">
        <f t="shared" si="2"/>
        <v>12</v>
      </c>
      <c r="F26" s="420" t="str">
        <f t="shared" si="3"/>
        <v>pm</v>
      </c>
      <c r="G26" s="420" t="s">
        <v>252</v>
      </c>
      <c r="H26" s="420" t="s">
        <v>253</v>
      </c>
      <c r="I26" s="420" t="s">
        <v>254</v>
      </c>
      <c r="K26" s="421">
        <f t="shared" si="4"/>
        <v>1428.1010048509108</v>
      </c>
      <c r="M26" s="421">
        <v>1400</v>
      </c>
      <c r="P26" s="420">
        <v>1428.1010048509108</v>
      </c>
    </row>
    <row r="27" spans="1:16" x14ac:dyDescent="0.3">
      <c r="A27" s="420">
        <v>5</v>
      </c>
      <c r="C27" s="420">
        <f t="shared" si="0"/>
        <v>21</v>
      </c>
      <c r="D27" s="420">
        <f t="shared" si="1"/>
        <v>21</v>
      </c>
      <c r="E27" s="420">
        <f t="shared" si="2"/>
        <v>12</v>
      </c>
      <c r="F27" s="420" t="str">
        <f t="shared" si="3"/>
        <v>pm</v>
      </c>
      <c r="G27" s="420" t="s">
        <v>255</v>
      </c>
      <c r="H27" s="420" t="s">
        <v>256</v>
      </c>
      <c r="I27" s="420" t="s">
        <v>257</v>
      </c>
      <c r="K27" s="421">
        <f t="shared" si="4"/>
        <v>1472.1508938896179</v>
      </c>
      <c r="M27" s="421">
        <v>1400</v>
      </c>
      <c r="N27" s="420">
        <v>1462.0140696522083</v>
      </c>
      <c r="P27" s="420">
        <v>1472.1508938896179</v>
      </c>
    </row>
    <row r="28" spans="1:16" x14ac:dyDescent="0.3">
      <c r="A28" s="420">
        <v>4</v>
      </c>
      <c r="C28" s="420">
        <f t="shared" si="0"/>
        <v>22</v>
      </c>
      <c r="D28" s="420">
        <f t="shared" si="1"/>
        <v>22</v>
      </c>
      <c r="E28" s="420">
        <f t="shared" si="2"/>
        <v>12</v>
      </c>
      <c r="F28" s="420" t="str">
        <f t="shared" si="3"/>
        <v>pm</v>
      </c>
      <c r="G28" s="420" t="s">
        <v>258</v>
      </c>
      <c r="H28" s="420" t="s">
        <v>256</v>
      </c>
      <c r="I28" s="420" t="s">
        <v>259</v>
      </c>
      <c r="K28" s="421">
        <f t="shared" si="4"/>
        <v>1387.5441557026004</v>
      </c>
      <c r="M28" s="421">
        <v>1400</v>
      </c>
      <c r="P28" s="420">
        <v>1387.5441557026004</v>
      </c>
    </row>
    <row r="29" spans="1:16" x14ac:dyDescent="0.3">
      <c r="A29" s="420">
        <v>6</v>
      </c>
      <c r="C29" s="420">
        <f t="shared" si="0"/>
        <v>23</v>
      </c>
      <c r="D29" s="420">
        <f t="shared" si="1"/>
        <v>23</v>
      </c>
      <c r="E29" s="420">
        <f t="shared" si="2"/>
        <v>12</v>
      </c>
      <c r="F29" s="420" t="str">
        <f t="shared" si="3"/>
        <v>pm</v>
      </c>
      <c r="G29" s="420" t="s">
        <v>260</v>
      </c>
      <c r="H29" s="420" t="s">
        <v>261</v>
      </c>
      <c r="I29" s="420" t="s">
        <v>262</v>
      </c>
      <c r="K29" s="421">
        <f t="shared" si="4"/>
        <v>1397.3483492662522</v>
      </c>
      <c r="M29" s="421">
        <v>1400</v>
      </c>
      <c r="P29" s="420">
        <v>1397.3483492662522</v>
      </c>
    </row>
    <row r="30" spans="1:16" x14ac:dyDescent="0.3">
      <c r="A30" s="420">
        <v>6</v>
      </c>
      <c r="C30" s="420">
        <f t="shared" si="0"/>
        <v>24</v>
      </c>
      <c r="D30" s="420">
        <f t="shared" si="1"/>
        <v>24</v>
      </c>
      <c r="E30" s="420">
        <f t="shared" si="2"/>
        <v>12</v>
      </c>
      <c r="F30" s="420" t="str">
        <f t="shared" si="3"/>
        <v>pm</v>
      </c>
      <c r="G30" s="420" t="s">
        <v>263</v>
      </c>
      <c r="H30" s="420" t="s">
        <v>264</v>
      </c>
      <c r="I30" s="420" t="s">
        <v>265</v>
      </c>
      <c r="K30" s="421">
        <f t="shared" si="4"/>
        <v>1387.8230506446589</v>
      </c>
      <c r="M30" s="421">
        <v>1400</v>
      </c>
      <c r="P30" s="420">
        <v>1387.8230506446589</v>
      </c>
    </row>
    <row r="31" spans="1:16" x14ac:dyDescent="0.3">
      <c r="A31" s="420">
        <v>5</v>
      </c>
      <c r="C31" s="420">
        <f t="shared" si="0"/>
        <v>25</v>
      </c>
      <c r="D31" s="420">
        <f t="shared" si="1"/>
        <v>25</v>
      </c>
      <c r="E31" s="420">
        <f t="shared" si="2"/>
        <v>12</v>
      </c>
      <c r="F31" s="420" t="str">
        <f t="shared" si="3"/>
        <v>pm</v>
      </c>
      <c r="G31" s="420" t="s">
        <v>266</v>
      </c>
      <c r="H31" s="420" t="s">
        <v>267</v>
      </c>
      <c r="I31" s="420" t="s">
        <v>268</v>
      </c>
      <c r="K31" s="421">
        <f t="shared" si="4"/>
        <v>1483.6607809901664</v>
      </c>
      <c r="M31" s="421">
        <v>1400</v>
      </c>
      <c r="N31" s="420">
        <v>1392.0553046168466</v>
      </c>
      <c r="P31" s="420">
        <v>1483.6607809901664</v>
      </c>
    </row>
    <row r="32" spans="1:16" x14ac:dyDescent="0.3">
      <c r="A32" s="420">
        <v>1</v>
      </c>
      <c r="C32" s="420">
        <f t="shared" si="0"/>
        <v>26</v>
      </c>
      <c r="D32" s="420">
        <f t="shared" si="1"/>
        <v>26</v>
      </c>
      <c r="E32" s="420">
        <f t="shared" si="2"/>
        <v>12</v>
      </c>
      <c r="F32" s="420" t="str">
        <f t="shared" si="3"/>
        <v>pmx</v>
      </c>
      <c r="G32" s="420" t="s">
        <v>269</v>
      </c>
      <c r="H32" s="420" t="s">
        <v>270</v>
      </c>
      <c r="I32" s="420" t="s">
        <v>271</v>
      </c>
      <c r="K32" s="421">
        <f t="shared" si="4"/>
        <v>1419.6445762924195</v>
      </c>
      <c r="M32" s="421">
        <v>1400</v>
      </c>
      <c r="N32" s="420">
        <v>1419.6445762924195</v>
      </c>
    </row>
    <row r="33" spans="1:16" x14ac:dyDescent="0.3">
      <c r="A33" s="420">
        <v>4</v>
      </c>
      <c r="C33" s="420">
        <f t="shared" si="0"/>
        <v>27</v>
      </c>
      <c r="D33" s="420">
        <f t="shared" si="1"/>
        <v>27</v>
      </c>
      <c r="E33" s="420">
        <f t="shared" si="2"/>
        <v>12</v>
      </c>
      <c r="F33" s="420" t="str">
        <f t="shared" si="3"/>
        <v>pm</v>
      </c>
      <c r="G33" s="420" t="s">
        <v>272</v>
      </c>
      <c r="H33" s="420" t="s">
        <v>273</v>
      </c>
      <c r="I33" s="420" t="s">
        <v>274</v>
      </c>
      <c r="K33" s="421">
        <f t="shared" si="4"/>
        <v>1400</v>
      </c>
      <c r="M33" s="421">
        <v>1400</v>
      </c>
    </row>
    <row r="34" spans="1:16" x14ac:dyDescent="0.3">
      <c r="A34" s="420">
        <v>4</v>
      </c>
      <c r="C34" s="420">
        <f t="shared" si="0"/>
        <v>28</v>
      </c>
      <c r="D34" s="420">
        <f t="shared" si="1"/>
        <v>27</v>
      </c>
      <c r="E34" s="420">
        <f t="shared" si="2"/>
        <v>12</v>
      </c>
      <c r="F34" s="420" t="str">
        <f t="shared" si="3"/>
        <v>pm</v>
      </c>
      <c r="G34" s="420" t="s">
        <v>275</v>
      </c>
      <c r="H34" s="420" t="s">
        <v>273</v>
      </c>
      <c r="I34" s="420" t="s">
        <v>276</v>
      </c>
      <c r="K34" s="421">
        <f t="shared" si="4"/>
        <v>1400</v>
      </c>
      <c r="M34" s="421">
        <v>1400</v>
      </c>
    </row>
    <row r="35" spans="1:16" x14ac:dyDescent="0.3">
      <c r="A35" s="420">
        <v>7</v>
      </c>
      <c r="C35" s="420">
        <f t="shared" si="0"/>
        <v>29</v>
      </c>
      <c r="D35" s="420">
        <f t="shared" si="1"/>
        <v>29</v>
      </c>
      <c r="E35" s="420">
        <f t="shared" si="2"/>
        <v>12</v>
      </c>
      <c r="F35" s="420" t="str">
        <f t="shared" si="3"/>
        <v>pm</v>
      </c>
      <c r="G35" s="420" t="s">
        <v>277</v>
      </c>
      <c r="H35" s="420" t="s">
        <v>278</v>
      </c>
      <c r="I35" s="420" t="s">
        <v>279</v>
      </c>
      <c r="K35" s="421">
        <f t="shared" si="4"/>
        <v>1385.9530682556606</v>
      </c>
      <c r="M35" s="421">
        <v>1400</v>
      </c>
      <c r="N35" s="420">
        <v>1334.5199657762885</v>
      </c>
      <c r="P35" s="420">
        <v>1385.9530682556606</v>
      </c>
    </row>
    <row r="36" spans="1:16" x14ac:dyDescent="0.3">
      <c r="A36" s="420">
        <v>1</v>
      </c>
      <c r="C36" s="420">
        <f t="shared" si="0"/>
        <v>30</v>
      </c>
      <c r="D36" s="420">
        <f t="shared" si="1"/>
        <v>30</v>
      </c>
      <c r="E36" s="420">
        <f t="shared" si="2"/>
        <v>12</v>
      </c>
      <c r="F36" s="420" t="str">
        <f t="shared" si="3"/>
        <v>pmx</v>
      </c>
      <c r="G36" s="420" t="s">
        <v>280</v>
      </c>
      <c r="H36" s="420" t="s">
        <v>200</v>
      </c>
      <c r="I36" s="420" t="s">
        <v>281</v>
      </c>
      <c r="K36" s="421">
        <f t="shared" si="4"/>
        <v>1400</v>
      </c>
      <c r="M36" s="421">
        <v>1400</v>
      </c>
    </row>
    <row r="37" spans="1:16" x14ac:dyDescent="0.3">
      <c r="A37" s="420">
        <v>3</v>
      </c>
      <c r="C37" s="420">
        <f t="shared" si="0"/>
        <v>31</v>
      </c>
      <c r="D37" s="420">
        <f t="shared" si="1"/>
        <v>31</v>
      </c>
      <c r="E37" s="420">
        <f t="shared" si="2"/>
        <v>12</v>
      </c>
      <c r="F37" s="420" t="str">
        <f t="shared" si="3"/>
        <v>pm</v>
      </c>
      <c r="G37" s="420" t="s">
        <v>282</v>
      </c>
      <c r="H37" s="420" t="s">
        <v>283</v>
      </c>
      <c r="I37" s="420" t="s">
        <v>284</v>
      </c>
      <c r="K37" s="421">
        <f t="shared" si="4"/>
        <v>1445.866311589471</v>
      </c>
      <c r="M37" s="421">
        <v>1400</v>
      </c>
      <c r="P37" s="420">
        <v>1445.866311589471</v>
      </c>
    </row>
    <row r="38" spans="1:16" x14ac:dyDescent="0.3">
      <c r="A38" s="420">
        <v>3</v>
      </c>
      <c r="C38" s="420">
        <f t="shared" si="0"/>
        <v>32</v>
      </c>
      <c r="D38" s="420">
        <f t="shared" si="1"/>
        <v>32</v>
      </c>
      <c r="E38" s="420">
        <f t="shared" si="2"/>
        <v>12</v>
      </c>
      <c r="F38" s="420" t="str">
        <f t="shared" si="3"/>
        <v>pm</v>
      </c>
      <c r="G38" s="420" t="s">
        <v>285</v>
      </c>
      <c r="H38" s="420" t="s">
        <v>283</v>
      </c>
      <c r="I38" s="420" t="s">
        <v>286</v>
      </c>
      <c r="K38" s="421">
        <f t="shared" si="4"/>
        <v>1296.9548720074079</v>
      </c>
      <c r="M38" s="421">
        <v>1400</v>
      </c>
      <c r="P38" s="420">
        <v>1296.9548720074079</v>
      </c>
    </row>
    <row r="39" spans="1:16" x14ac:dyDescent="0.3">
      <c r="A39" s="420">
        <v>6</v>
      </c>
      <c r="C39" s="420">
        <f t="shared" si="0"/>
        <v>33</v>
      </c>
      <c r="D39" s="420">
        <f t="shared" si="1"/>
        <v>33</v>
      </c>
      <c r="E39" s="420">
        <f t="shared" si="2"/>
        <v>12</v>
      </c>
      <c r="F39" s="420" t="str">
        <f t="shared" si="3"/>
        <v>pm</v>
      </c>
      <c r="G39" s="420" t="s">
        <v>287</v>
      </c>
      <c r="H39" s="420" t="s">
        <v>288</v>
      </c>
      <c r="I39" s="420" t="s">
        <v>289</v>
      </c>
      <c r="K39" s="421">
        <f t="shared" si="4"/>
        <v>1368.8186614357858</v>
      </c>
      <c r="M39" s="421">
        <v>1400</v>
      </c>
      <c r="P39" s="420">
        <v>1368.8186614357858</v>
      </c>
    </row>
    <row r="40" spans="1:16" x14ac:dyDescent="0.3">
      <c r="A40" s="420">
        <v>3</v>
      </c>
      <c r="C40" s="420">
        <f t="shared" si="0"/>
        <v>34</v>
      </c>
      <c r="D40" s="420">
        <f t="shared" si="1"/>
        <v>34</v>
      </c>
      <c r="E40" s="420">
        <f t="shared" si="2"/>
        <v>12</v>
      </c>
      <c r="F40" s="420" t="str">
        <f t="shared" si="3"/>
        <v>pm</v>
      </c>
      <c r="G40" s="420" t="s">
        <v>290</v>
      </c>
      <c r="H40" s="420" t="s">
        <v>288</v>
      </c>
      <c r="I40" s="420" t="s">
        <v>291</v>
      </c>
      <c r="K40" s="421">
        <f t="shared" si="4"/>
        <v>1424.3253801381572</v>
      </c>
      <c r="M40" s="421">
        <v>1400</v>
      </c>
      <c r="P40" s="420">
        <v>1424.3253801381572</v>
      </c>
    </row>
    <row r="41" spans="1:16" x14ac:dyDescent="0.3">
      <c r="A41" s="420">
        <v>4</v>
      </c>
      <c r="C41" s="420">
        <f t="shared" si="0"/>
        <v>35</v>
      </c>
      <c r="D41" s="420">
        <f t="shared" si="1"/>
        <v>35</v>
      </c>
      <c r="E41" s="420">
        <f t="shared" si="2"/>
        <v>12</v>
      </c>
      <c r="F41" s="420" t="str">
        <f t="shared" si="3"/>
        <v>pm</v>
      </c>
      <c r="G41" s="420" t="s">
        <v>292</v>
      </c>
      <c r="H41" s="420" t="s">
        <v>218</v>
      </c>
      <c r="I41" s="420" t="s">
        <v>293</v>
      </c>
      <c r="K41" s="421">
        <f t="shared" si="4"/>
        <v>1312.5310212754796</v>
      </c>
      <c r="M41" s="421">
        <v>1400</v>
      </c>
      <c r="P41" s="420">
        <v>1312.5310212754796</v>
      </c>
    </row>
    <row r="42" spans="1:16" x14ac:dyDescent="0.3">
      <c r="A42" s="420">
        <v>2</v>
      </c>
      <c r="C42" s="420">
        <f t="shared" si="0"/>
        <v>36</v>
      </c>
      <c r="D42" s="420">
        <f t="shared" si="1"/>
        <v>36</v>
      </c>
      <c r="E42" s="420">
        <f t="shared" si="2"/>
        <v>12</v>
      </c>
      <c r="F42" s="420" t="str">
        <f t="shared" si="3"/>
        <v>pm</v>
      </c>
      <c r="G42" s="420" t="s">
        <v>294</v>
      </c>
      <c r="H42" s="420" t="s">
        <v>227</v>
      </c>
      <c r="I42" s="420" t="s">
        <v>295</v>
      </c>
      <c r="K42" s="421">
        <f t="shared" si="4"/>
        <v>1400</v>
      </c>
      <c r="M42" s="421">
        <v>1400</v>
      </c>
    </row>
    <row r="43" spans="1:16" x14ac:dyDescent="0.3">
      <c r="A43" s="420">
        <v>1</v>
      </c>
      <c r="C43" s="420">
        <f t="shared" si="0"/>
        <v>37</v>
      </c>
      <c r="D43" s="420">
        <f t="shared" si="1"/>
        <v>37</v>
      </c>
      <c r="E43" s="420">
        <f t="shared" si="2"/>
        <v>12</v>
      </c>
      <c r="F43" s="420" t="str">
        <f t="shared" si="3"/>
        <v>crx</v>
      </c>
      <c r="G43" s="420" t="s">
        <v>296</v>
      </c>
      <c r="H43" s="420" t="s">
        <v>297</v>
      </c>
      <c r="I43" s="420" t="s">
        <v>298</v>
      </c>
      <c r="K43" s="421">
        <f t="shared" si="4"/>
        <v>1361.5371698741974</v>
      </c>
      <c r="M43" s="421">
        <v>1400</v>
      </c>
      <c r="P43" s="420">
        <v>1361.5371698741974</v>
      </c>
    </row>
    <row r="44" spans="1:16" x14ac:dyDescent="0.3">
      <c r="A44" s="420">
        <v>3</v>
      </c>
      <c r="C44" s="420">
        <f t="shared" si="0"/>
        <v>38</v>
      </c>
      <c r="D44" s="420">
        <f t="shared" si="1"/>
        <v>38</v>
      </c>
      <c r="E44" s="420">
        <f t="shared" si="2"/>
        <v>12</v>
      </c>
      <c r="F44" s="420" t="str">
        <f t="shared" si="3"/>
        <v>cr</v>
      </c>
      <c r="G44" s="420" t="s">
        <v>299</v>
      </c>
      <c r="H44" s="420" t="s">
        <v>203</v>
      </c>
      <c r="I44" s="420" t="s">
        <v>300</v>
      </c>
      <c r="K44" s="421">
        <f t="shared" si="4"/>
        <v>1359.5554742731761</v>
      </c>
      <c r="M44" s="421">
        <v>1400</v>
      </c>
      <c r="P44" s="420">
        <v>1359.5554742731761</v>
      </c>
    </row>
    <row r="45" spans="1:16" x14ac:dyDescent="0.3">
      <c r="A45" s="420">
        <v>1</v>
      </c>
      <c r="C45" s="420">
        <f t="shared" si="0"/>
        <v>39</v>
      </c>
      <c r="D45" s="420">
        <f t="shared" si="1"/>
        <v>39</v>
      </c>
      <c r="E45" s="420">
        <f t="shared" si="2"/>
        <v>12</v>
      </c>
      <c r="F45" s="420" t="str">
        <f t="shared" si="3"/>
        <v>crx</v>
      </c>
      <c r="G45" s="420" t="s">
        <v>301</v>
      </c>
      <c r="H45" s="420" t="s">
        <v>302</v>
      </c>
      <c r="I45" s="420" t="s">
        <v>303</v>
      </c>
      <c r="K45" s="421">
        <f t="shared" si="4"/>
        <v>1478.5154866564021</v>
      </c>
      <c r="M45" s="421">
        <v>1400</v>
      </c>
      <c r="P45" s="420">
        <v>1478.5154866564021</v>
      </c>
    </row>
    <row r="46" spans="1:16" x14ac:dyDescent="0.3">
      <c r="A46" s="420">
        <v>3</v>
      </c>
      <c r="C46" s="420">
        <f t="shared" si="0"/>
        <v>40</v>
      </c>
      <c r="D46" s="420">
        <f t="shared" si="1"/>
        <v>40</v>
      </c>
      <c r="E46" s="420">
        <f t="shared" si="2"/>
        <v>12</v>
      </c>
      <c r="F46" s="420" t="str">
        <f t="shared" si="3"/>
        <v>pm</v>
      </c>
      <c r="G46" s="420" t="s">
        <v>304</v>
      </c>
      <c r="H46" s="420" t="s">
        <v>305</v>
      </c>
      <c r="I46" s="420" t="s">
        <v>306</v>
      </c>
      <c r="K46" s="421">
        <f t="shared" si="4"/>
        <v>1184.4234246867265</v>
      </c>
      <c r="M46" s="421">
        <v>1266.6666666666667</v>
      </c>
      <c r="N46" s="420">
        <v>1184.4234246867265</v>
      </c>
    </row>
    <row r="47" spans="1:16" x14ac:dyDescent="0.3">
      <c r="A47" s="420">
        <v>2</v>
      </c>
      <c r="C47" s="420">
        <f t="shared" si="0"/>
        <v>41</v>
      </c>
      <c r="D47" s="420">
        <f t="shared" si="1"/>
        <v>41</v>
      </c>
      <c r="E47" s="420">
        <f t="shared" si="2"/>
        <v>12</v>
      </c>
      <c r="F47" s="420" t="str">
        <f t="shared" si="3"/>
        <v>pm</v>
      </c>
      <c r="G47" s="420" t="s">
        <v>307</v>
      </c>
      <c r="H47" s="420" t="s">
        <v>243</v>
      </c>
      <c r="I47" s="420" t="s">
        <v>308</v>
      </c>
      <c r="K47" s="421">
        <f t="shared" si="4"/>
        <v>1200</v>
      </c>
      <c r="M47" s="421">
        <v>1200</v>
      </c>
    </row>
    <row r="48" spans="1:16" x14ac:dyDescent="0.3">
      <c r="A48" s="420">
        <v>2</v>
      </c>
      <c r="C48" s="420">
        <f t="shared" si="0"/>
        <v>42</v>
      </c>
      <c r="D48" s="420">
        <f t="shared" si="1"/>
        <v>41</v>
      </c>
      <c r="E48" s="420">
        <f t="shared" si="2"/>
        <v>12</v>
      </c>
      <c r="F48" s="420" t="str">
        <f t="shared" si="3"/>
        <v>pm</v>
      </c>
      <c r="G48" s="420" t="s">
        <v>309</v>
      </c>
      <c r="H48" s="420" t="s">
        <v>243</v>
      </c>
      <c r="I48" s="420" t="s">
        <v>310</v>
      </c>
      <c r="K48" s="421">
        <f t="shared" si="4"/>
        <v>1200</v>
      </c>
      <c r="M48" s="421">
        <v>1200</v>
      </c>
    </row>
    <row r="49" spans="1:16" x14ac:dyDescent="0.3">
      <c r="A49" s="420">
        <v>2</v>
      </c>
      <c r="C49" s="420">
        <f t="shared" si="0"/>
        <v>43</v>
      </c>
      <c r="D49" s="420">
        <f t="shared" si="1"/>
        <v>41</v>
      </c>
      <c r="E49" s="420">
        <f t="shared" si="2"/>
        <v>12</v>
      </c>
      <c r="F49" s="420" t="str">
        <f t="shared" si="3"/>
        <v>pm</v>
      </c>
      <c r="G49" s="420" t="s">
        <v>311</v>
      </c>
      <c r="H49" s="420" t="s">
        <v>243</v>
      </c>
      <c r="I49" s="420" t="s">
        <v>312</v>
      </c>
      <c r="K49" s="421">
        <f t="shared" si="4"/>
        <v>1200</v>
      </c>
      <c r="M49" s="421">
        <v>1200</v>
      </c>
    </row>
    <row r="50" spans="1:16" x14ac:dyDescent="0.3">
      <c r="A50" s="420">
        <v>3</v>
      </c>
      <c r="C50" s="420">
        <f t="shared" si="0"/>
        <v>44</v>
      </c>
      <c r="D50" s="420">
        <f t="shared" si="1"/>
        <v>41</v>
      </c>
      <c r="E50" s="420">
        <f t="shared" si="2"/>
        <v>12</v>
      </c>
      <c r="F50" s="420" t="str">
        <f t="shared" si="3"/>
        <v>pm</v>
      </c>
      <c r="G50" s="420" t="s">
        <v>313</v>
      </c>
      <c r="H50" s="420" t="s">
        <v>256</v>
      </c>
      <c r="I50" s="420" t="s">
        <v>314</v>
      </c>
      <c r="K50" s="421">
        <f t="shared" si="4"/>
        <v>1200</v>
      </c>
      <c r="M50" s="421">
        <v>1200</v>
      </c>
    </row>
    <row r="51" spans="1:16" x14ac:dyDescent="0.3">
      <c r="A51" s="420">
        <v>4</v>
      </c>
      <c r="C51" s="420">
        <f t="shared" si="0"/>
        <v>45</v>
      </c>
      <c r="D51" s="420">
        <f t="shared" si="1"/>
        <v>41</v>
      </c>
      <c r="E51" s="420">
        <f t="shared" si="2"/>
        <v>12</v>
      </c>
      <c r="F51" s="420" t="str">
        <f t="shared" si="3"/>
        <v>pm</v>
      </c>
      <c r="G51" s="420" t="s">
        <v>315</v>
      </c>
      <c r="H51" s="420" t="s">
        <v>264</v>
      </c>
      <c r="I51" s="420" t="s">
        <v>316</v>
      </c>
      <c r="K51" s="421">
        <f t="shared" si="4"/>
        <v>1200</v>
      </c>
      <c r="M51" s="421">
        <v>1200</v>
      </c>
    </row>
    <row r="52" spans="1:16" x14ac:dyDescent="0.3">
      <c r="A52" s="420">
        <v>4</v>
      </c>
      <c r="C52" s="420">
        <f t="shared" si="0"/>
        <v>46</v>
      </c>
      <c r="D52" s="420">
        <f t="shared" si="1"/>
        <v>41</v>
      </c>
      <c r="E52" s="420">
        <f t="shared" si="2"/>
        <v>12</v>
      </c>
      <c r="F52" s="420" t="str">
        <f t="shared" si="3"/>
        <v>pm</v>
      </c>
      <c r="G52" s="420" t="s">
        <v>317</v>
      </c>
      <c r="H52" s="420" t="s">
        <v>318</v>
      </c>
      <c r="I52" s="420" t="s">
        <v>319</v>
      </c>
      <c r="K52" s="421">
        <f t="shared" si="4"/>
        <v>1200</v>
      </c>
      <c r="M52" s="421">
        <v>1200</v>
      </c>
    </row>
    <row r="53" spans="1:16" x14ac:dyDescent="0.3">
      <c r="A53" s="420">
        <v>3</v>
      </c>
      <c r="C53" s="420">
        <f t="shared" si="0"/>
        <v>47</v>
      </c>
      <c r="D53" s="420">
        <f t="shared" si="1"/>
        <v>41</v>
      </c>
      <c r="E53" s="420">
        <f t="shared" si="2"/>
        <v>12</v>
      </c>
      <c r="F53" s="420" t="str">
        <f t="shared" si="3"/>
        <v>pm</v>
      </c>
      <c r="G53" s="420" t="s">
        <v>168</v>
      </c>
      <c r="H53" s="420" t="s">
        <v>267</v>
      </c>
      <c r="I53" s="420" t="s">
        <v>320</v>
      </c>
      <c r="K53" s="421">
        <f t="shared" si="4"/>
        <v>1200</v>
      </c>
      <c r="M53" s="421">
        <v>1200</v>
      </c>
    </row>
    <row r="54" spans="1:16" x14ac:dyDescent="0.3">
      <c r="A54" s="420">
        <v>2</v>
      </c>
      <c r="C54" s="420">
        <f t="shared" si="0"/>
        <v>48</v>
      </c>
      <c r="D54" s="420">
        <f t="shared" si="1"/>
        <v>41</v>
      </c>
      <c r="E54" s="420">
        <f t="shared" si="2"/>
        <v>12</v>
      </c>
      <c r="F54" s="420" t="str">
        <f t="shared" si="3"/>
        <v>pm</v>
      </c>
      <c r="G54" s="420" t="s">
        <v>321</v>
      </c>
      <c r="H54" s="420" t="s">
        <v>267</v>
      </c>
      <c r="I54" s="420" t="s">
        <v>322</v>
      </c>
      <c r="K54" s="421">
        <f t="shared" si="4"/>
        <v>1200</v>
      </c>
      <c r="M54" s="421">
        <v>1200</v>
      </c>
    </row>
    <row r="55" spans="1:16" x14ac:dyDescent="0.3">
      <c r="A55" s="420">
        <v>2</v>
      </c>
      <c r="C55" s="420">
        <f t="shared" si="0"/>
        <v>49</v>
      </c>
      <c r="D55" s="420">
        <f t="shared" si="1"/>
        <v>41</v>
      </c>
      <c r="E55" s="420">
        <f t="shared" si="2"/>
        <v>12</v>
      </c>
      <c r="F55" s="420" t="str">
        <f t="shared" si="3"/>
        <v>pm</v>
      </c>
      <c r="G55" s="420" t="s">
        <v>323</v>
      </c>
      <c r="H55" s="420" t="s">
        <v>273</v>
      </c>
      <c r="I55" s="420" t="s">
        <v>155</v>
      </c>
      <c r="K55" s="421">
        <f t="shared" si="4"/>
        <v>1200</v>
      </c>
      <c r="M55" s="421">
        <v>1200</v>
      </c>
    </row>
    <row r="56" spans="1:16" x14ac:dyDescent="0.3">
      <c r="A56" s="420">
        <v>2</v>
      </c>
      <c r="C56" s="420">
        <f t="shared" si="0"/>
        <v>50</v>
      </c>
      <c r="D56" s="420">
        <f t="shared" si="1"/>
        <v>41</v>
      </c>
      <c r="E56" s="420">
        <f t="shared" si="2"/>
        <v>12</v>
      </c>
      <c r="F56" s="420" t="str">
        <f t="shared" si="3"/>
        <v>pm</v>
      </c>
      <c r="G56" s="420" t="s">
        <v>156</v>
      </c>
      <c r="H56" s="420" t="s">
        <v>273</v>
      </c>
      <c r="I56" s="420" t="s">
        <v>324</v>
      </c>
      <c r="K56" s="421">
        <f t="shared" si="4"/>
        <v>1200</v>
      </c>
      <c r="M56" s="421">
        <v>1200</v>
      </c>
    </row>
    <row r="57" spans="1:16" x14ac:dyDescent="0.3">
      <c r="A57" s="420">
        <v>2</v>
      </c>
      <c r="C57" s="420">
        <f t="shared" si="0"/>
        <v>51</v>
      </c>
      <c r="D57" s="420">
        <f t="shared" si="1"/>
        <v>41</v>
      </c>
      <c r="E57" s="420">
        <f t="shared" si="2"/>
        <v>12</v>
      </c>
      <c r="F57" s="420" t="str">
        <f t="shared" si="3"/>
        <v>pm</v>
      </c>
      <c r="G57" s="420" t="s">
        <v>325</v>
      </c>
      <c r="H57" s="420" t="s">
        <v>273</v>
      </c>
      <c r="I57" s="420" t="s">
        <v>326</v>
      </c>
      <c r="K57" s="421">
        <f t="shared" si="4"/>
        <v>1200</v>
      </c>
      <c r="M57" s="421">
        <v>1200</v>
      </c>
    </row>
    <row r="58" spans="1:16" x14ac:dyDescent="0.3">
      <c r="A58" s="420">
        <v>1</v>
      </c>
      <c r="C58" s="420">
        <f t="shared" si="0"/>
        <v>52</v>
      </c>
      <c r="D58" s="420">
        <f t="shared" si="1"/>
        <v>41</v>
      </c>
      <c r="E58" s="420">
        <f t="shared" si="2"/>
        <v>12</v>
      </c>
      <c r="F58" s="420" t="str">
        <f t="shared" si="3"/>
        <v>pmx</v>
      </c>
      <c r="G58" s="420" t="s">
        <v>327</v>
      </c>
      <c r="H58" s="420" t="s">
        <v>328</v>
      </c>
      <c r="I58" s="420" t="s">
        <v>329</v>
      </c>
      <c r="K58" s="421">
        <f t="shared" si="4"/>
        <v>1200</v>
      </c>
      <c r="M58" s="421">
        <v>1200</v>
      </c>
    </row>
    <row r="59" spans="1:16" x14ac:dyDescent="0.3">
      <c r="A59" s="420">
        <v>3</v>
      </c>
      <c r="C59" s="420">
        <f t="shared" si="0"/>
        <v>53</v>
      </c>
      <c r="D59" s="420">
        <f t="shared" si="1"/>
        <v>41</v>
      </c>
      <c r="E59" s="420">
        <f t="shared" si="2"/>
        <v>12</v>
      </c>
      <c r="F59" s="420" t="str">
        <f t="shared" si="3"/>
        <v>pm</v>
      </c>
      <c r="G59" s="420" t="s">
        <v>330</v>
      </c>
      <c r="H59" s="420" t="s">
        <v>331</v>
      </c>
      <c r="I59" s="420" t="s">
        <v>332</v>
      </c>
      <c r="K59" s="421">
        <f t="shared" si="4"/>
        <v>1200</v>
      </c>
      <c r="M59" s="421">
        <v>1200</v>
      </c>
    </row>
    <row r="60" spans="1:16" x14ac:dyDescent="0.3">
      <c r="A60" s="420">
        <v>4</v>
      </c>
      <c r="C60" s="420">
        <f t="shared" si="0"/>
        <v>54</v>
      </c>
      <c r="D60" s="420">
        <f t="shared" si="1"/>
        <v>41</v>
      </c>
      <c r="E60" s="420">
        <f t="shared" si="2"/>
        <v>12</v>
      </c>
      <c r="F60" s="420" t="str">
        <f t="shared" si="3"/>
        <v>pm</v>
      </c>
      <c r="G60" s="420" t="s">
        <v>144</v>
      </c>
      <c r="H60" s="420" t="s">
        <v>288</v>
      </c>
      <c r="I60" s="420" t="s">
        <v>159</v>
      </c>
      <c r="K60" s="421">
        <f t="shared" si="4"/>
        <v>1200</v>
      </c>
      <c r="M60" s="421">
        <v>1200</v>
      </c>
    </row>
    <row r="61" spans="1:16" x14ac:dyDescent="0.3">
      <c r="A61" s="420">
        <v>4</v>
      </c>
      <c r="C61" s="420">
        <f t="shared" si="0"/>
        <v>55</v>
      </c>
      <c r="D61" s="420">
        <f t="shared" si="1"/>
        <v>41</v>
      </c>
      <c r="E61" s="420">
        <f t="shared" si="2"/>
        <v>12</v>
      </c>
      <c r="F61" s="420" t="str">
        <f t="shared" si="3"/>
        <v>pm</v>
      </c>
      <c r="G61" s="420" t="s">
        <v>146</v>
      </c>
      <c r="H61" s="420" t="s">
        <v>288</v>
      </c>
      <c r="I61" s="420" t="s">
        <v>161</v>
      </c>
      <c r="K61" s="421">
        <f t="shared" si="4"/>
        <v>1200</v>
      </c>
      <c r="M61" s="421">
        <v>1200</v>
      </c>
    </row>
    <row r="62" spans="1:16" x14ac:dyDescent="0.3">
      <c r="A62" s="420">
        <v>3</v>
      </c>
      <c r="C62" s="420">
        <f t="shared" si="0"/>
        <v>56</v>
      </c>
      <c r="D62" s="420">
        <f t="shared" si="1"/>
        <v>41</v>
      </c>
      <c r="E62" s="420">
        <f t="shared" si="2"/>
        <v>12</v>
      </c>
      <c r="F62" s="420" t="str">
        <f t="shared" si="3"/>
        <v>pm</v>
      </c>
      <c r="G62" s="420" t="s">
        <v>333</v>
      </c>
      <c r="H62" s="420" t="s">
        <v>334</v>
      </c>
      <c r="I62" s="420" t="s">
        <v>335</v>
      </c>
      <c r="K62" s="421">
        <f t="shared" si="4"/>
        <v>1200</v>
      </c>
      <c r="M62" s="421">
        <v>1200</v>
      </c>
    </row>
    <row r="63" spans="1:16" x14ac:dyDescent="0.3">
      <c r="A63" s="420">
        <v>2</v>
      </c>
      <c r="C63" s="420">
        <f t="shared" si="0"/>
        <v>57</v>
      </c>
      <c r="D63" s="420">
        <f t="shared" si="1"/>
        <v>41</v>
      </c>
      <c r="E63" s="420">
        <f t="shared" si="2"/>
        <v>12</v>
      </c>
      <c r="F63" s="420" t="str">
        <f t="shared" si="3"/>
        <v>cr</v>
      </c>
      <c r="G63" s="420" t="s">
        <v>336</v>
      </c>
      <c r="H63" s="420" t="s">
        <v>197</v>
      </c>
      <c r="I63" s="420" t="s">
        <v>337</v>
      </c>
      <c r="K63" s="421">
        <f t="shared" si="4"/>
        <v>1200</v>
      </c>
      <c r="M63" s="421">
        <v>1200</v>
      </c>
    </row>
    <row r="64" spans="1:16" x14ac:dyDescent="0.3">
      <c r="A64" s="420">
        <v>6</v>
      </c>
      <c r="C64" s="420">
        <f t="shared" si="0"/>
        <v>1</v>
      </c>
      <c r="D64" s="420">
        <f t="shared" si="1"/>
        <v>1</v>
      </c>
      <c r="E64" s="420">
        <f t="shared" si="2"/>
        <v>13</v>
      </c>
      <c r="F64" s="420" t="str">
        <f t="shared" si="3"/>
        <v>pm</v>
      </c>
      <c r="G64" s="420" t="s">
        <v>338</v>
      </c>
      <c r="H64" s="420" t="s">
        <v>261</v>
      </c>
      <c r="I64" s="420" t="s">
        <v>339</v>
      </c>
      <c r="K64" s="421">
        <f t="shared" si="4"/>
        <v>1987.6646605891308</v>
      </c>
      <c r="M64" s="421">
        <v>2000</v>
      </c>
      <c r="O64" s="420">
        <v>2060.3419653407827</v>
      </c>
      <c r="P64" s="420">
        <v>1987.6646605891308</v>
      </c>
    </row>
    <row r="65" spans="1:16" x14ac:dyDescent="0.3">
      <c r="A65" s="420">
        <v>4</v>
      </c>
      <c r="C65" s="420">
        <f t="shared" si="0"/>
        <v>2</v>
      </c>
      <c r="D65" s="420">
        <f t="shared" si="1"/>
        <v>2</v>
      </c>
      <c r="E65" s="420">
        <f t="shared" si="2"/>
        <v>13</v>
      </c>
      <c r="F65" s="420" t="str">
        <f t="shared" si="3"/>
        <v>pm</v>
      </c>
      <c r="G65" s="420" t="s">
        <v>340</v>
      </c>
      <c r="H65" s="420" t="s">
        <v>224</v>
      </c>
      <c r="I65" s="420" t="s">
        <v>341</v>
      </c>
      <c r="K65" s="421">
        <f t="shared" si="4"/>
        <v>1889.35082931787</v>
      </c>
      <c r="M65" s="421">
        <v>2000</v>
      </c>
      <c r="O65" s="420">
        <v>1889.35082931787</v>
      </c>
    </row>
    <row r="66" spans="1:16" x14ac:dyDescent="0.3">
      <c r="A66" s="420">
        <v>5</v>
      </c>
      <c r="C66" s="420">
        <f t="shared" ref="C66:C129" si="5">IF(E66=E65,C65+1,1)</f>
        <v>3</v>
      </c>
      <c r="D66" s="420">
        <f t="shared" ref="D66:D129" si="6">IF(K66=K65,D65,C66)</f>
        <v>3</v>
      </c>
      <c r="E66" s="420">
        <f t="shared" ref="E66:E129" si="7">10+VALUE(RIGHT(LEFT(G66,3),1))</f>
        <v>13</v>
      </c>
      <c r="F66" s="420" t="str">
        <f t="shared" ref="F66:F129" si="8">RIGHT(G66,2) &amp; IF(A66&lt;2,"x","")</f>
        <v>pm</v>
      </c>
      <c r="G66" s="420" t="s">
        <v>342</v>
      </c>
      <c r="H66" s="420" t="s">
        <v>224</v>
      </c>
      <c r="I66" s="420" t="s">
        <v>343</v>
      </c>
      <c r="K66" s="421">
        <f t="shared" ref="K66:K129" si="9">LOOKUP(1E+100,M66:AB66)</f>
        <v>1978.843978202189</v>
      </c>
      <c r="M66" s="421">
        <v>2000</v>
      </c>
      <c r="O66" s="420">
        <v>1978.843978202189</v>
      </c>
    </row>
    <row r="67" spans="1:16" x14ac:dyDescent="0.3">
      <c r="A67" s="420">
        <v>5</v>
      </c>
      <c r="C67" s="420">
        <f t="shared" si="5"/>
        <v>4</v>
      </c>
      <c r="D67" s="420">
        <f t="shared" si="6"/>
        <v>4</v>
      </c>
      <c r="E67" s="420">
        <f t="shared" si="7"/>
        <v>13</v>
      </c>
      <c r="F67" s="420" t="str">
        <f t="shared" si="8"/>
        <v>pm</v>
      </c>
      <c r="G67" s="420" t="s">
        <v>344</v>
      </c>
      <c r="H67" s="420" t="s">
        <v>224</v>
      </c>
      <c r="I67" s="420" t="s">
        <v>345</v>
      </c>
      <c r="K67" s="421">
        <f t="shared" si="9"/>
        <v>1966.1739071777461</v>
      </c>
      <c r="M67" s="421">
        <v>2000</v>
      </c>
      <c r="O67" s="420">
        <v>1966.1739071777461</v>
      </c>
    </row>
    <row r="68" spans="1:16" x14ac:dyDescent="0.3">
      <c r="A68" s="420">
        <v>7</v>
      </c>
      <c r="C68" s="420">
        <f t="shared" si="5"/>
        <v>5</v>
      </c>
      <c r="D68" s="420">
        <f t="shared" si="6"/>
        <v>5</v>
      </c>
      <c r="E68" s="420">
        <f t="shared" si="7"/>
        <v>13</v>
      </c>
      <c r="F68" s="420" t="str">
        <f t="shared" si="8"/>
        <v>pm</v>
      </c>
      <c r="G68" s="420" t="s">
        <v>346</v>
      </c>
      <c r="H68" s="420" t="s">
        <v>278</v>
      </c>
      <c r="I68" s="420" t="s">
        <v>347</v>
      </c>
      <c r="K68" s="421">
        <f t="shared" si="9"/>
        <v>2166.6401899886919</v>
      </c>
      <c r="M68" s="421">
        <v>2000</v>
      </c>
      <c r="O68" s="420">
        <v>2082.9615061596824</v>
      </c>
      <c r="P68" s="420">
        <v>2166.6401899886919</v>
      </c>
    </row>
    <row r="69" spans="1:16" x14ac:dyDescent="0.3">
      <c r="A69" s="420">
        <v>3</v>
      </c>
      <c r="C69" s="420">
        <f t="shared" si="5"/>
        <v>6</v>
      </c>
      <c r="D69" s="420">
        <f t="shared" si="6"/>
        <v>6</v>
      </c>
      <c r="E69" s="420">
        <f t="shared" si="7"/>
        <v>13</v>
      </c>
      <c r="F69" s="420" t="str">
        <f t="shared" si="8"/>
        <v>pm</v>
      </c>
      <c r="G69" s="420" t="s">
        <v>348</v>
      </c>
      <c r="H69" s="420" t="s">
        <v>349</v>
      </c>
      <c r="I69" s="420" t="s">
        <v>350</v>
      </c>
      <c r="K69" s="421">
        <f t="shared" si="9"/>
        <v>2000</v>
      </c>
      <c r="M69" s="421">
        <v>2000</v>
      </c>
    </row>
    <row r="70" spans="1:16" x14ac:dyDescent="0.3">
      <c r="A70" s="420">
        <v>1</v>
      </c>
      <c r="C70" s="420">
        <f t="shared" si="5"/>
        <v>7</v>
      </c>
      <c r="D70" s="420">
        <f t="shared" si="6"/>
        <v>6</v>
      </c>
      <c r="E70" s="420">
        <f t="shared" si="7"/>
        <v>13</v>
      </c>
      <c r="F70" s="420" t="str">
        <f t="shared" si="8"/>
        <v>pmx</v>
      </c>
      <c r="G70" s="420" t="s">
        <v>351</v>
      </c>
      <c r="H70" s="420" t="s">
        <v>352</v>
      </c>
      <c r="I70" s="420" t="s">
        <v>353</v>
      </c>
      <c r="K70" s="421">
        <f t="shared" si="9"/>
        <v>2000</v>
      </c>
      <c r="M70" s="421">
        <v>2000</v>
      </c>
    </row>
    <row r="71" spans="1:16" x14ac:dyDescent="0.3">
      <c r="A71" s="420">
        <v>1</v>
      </c>
      <c r="C71" s="420">
        <f t="shared" si="5"/>
        <v>8</v>
      </c>
      <c r="D71" s="420">
        <f t="shared" si="6"/>
        <v>8</v>
      </c>
      <c r="E71" s="420">
        <f t="shared" si="7"/>
        <v>13</v>
      </c>
      <c r="F71" s="420" t="str">
        <f t="shared" si="8"/>
        <v>pmx</v>
      </c>
      <c r="G71" s="420" t="s">
        <v>354</v>
      </c>
      <c r="H71" s="420" t="s">
        <v>192</v>
      </c>
      <c r="I71" s="420" t="s">
        <v>355</v>
      </c>
      <c r="K71" s="421">
        <f t="shared" si="9"/>
        <v>2133.242093718723</v>
      </c>
      <c r="M71" s="421">
        <v>2000</v>
      </c>
      <c r="P71" s="420">
        <v>2133.242093718723</v>
      </c>
    </row>
    <row r="72" spans="1:16" x14ac:dyDescent="0.3">
      <c r="A72" s="420">
        <v>1</v>
      </c>
      <c r="C72" s="420">
        <f t="shared" si="5"/>
        <v>9</v>
      </c>
      <c r="D72" s="420">
        <f t="shared" si="6"/>
        <v>9</v>
      </c>
      <c r="E72" s="420">
        <f t="shared" si="7"/>
        <v>13</v>
      </c>
      <c r="F72" s="420" t="str">
        <f t="shared" si="8"/>
        <v>pmx</v>
      </c>
      <c r="G72" s="420" t="s">
        <v>356</v>
      </c>
      <c r="H72" s="420" t="s">
        <v>192</v>
      </c>
      <c r="I72" s="420" t="s">
        <v>357</v>
      </c>
      <c r="K72" s="421">
        <f t="shared" si="9"/>
        <v>1978.1601622751334</v>
      </c>
      <c r="M72" s="421">
        <v>2000</v>
      </c>
      <c r="P72" s="420">
        <v>1978.1601622751334</v>
      </c>
    </row>
    <row r="73" spans="1:16" x14ac:dyDescent="0.3">
      <c r="A73" s="420">
        <v>5</v>
      </c>
      <c r="C73" s="420">
        <f t="shared" si="5"/>
        <v>10</v>
      </c>
      <c r="D73" s="420">
        <f t="shared" si="6"/>
        <v>10</v>
      </c>
      <c r="E73" s="420">
        <f t="shared" si="7"/>
        <v>13</v>
      </c>
      <c r="F73" s="420" t="str">
        <f t="shared" si="8"/>
        <v>pm</v>
      </c>
      <c r="G73" s="420" t="s">
        <v>358</v>
      </c>
      <c r="H73" s="420" t="s">
        <v>215</v>
      </c>
      <c r="I73" s="420" t="s">
        <v>359</v>
      </c>
      <c r="K73" s="421">
        <f t="shared" si="9"/>
        <v>2063.7160280611906</v>
      </c>
      <c r="M73" s="421">
        <v>2000</v>
      </c>
      <c r="P73" s="420">
        <v>2063.7160280611906</v>
      </c>
    </row>
    <row r="74" spans="1:16" x14ac:dyDescent="0.3">
      <c r="A74" s="420">
        <v>5</v>
      </c>
      <c r="C74" s="420">
        <f t="shared" si="5"/>
        <v>11</v>
      </c>
      <c r="D74" s="420">
        <f t="shared" si="6"/>
        <v>11</v>
      </c>
      <c r="E74" s="420">
        <f t="shared" si="7"/>
        <v>13</v>
      </c>
      <c r="F74" s="420" t="str">
        <f t="shared" si="8"/>
        <v>pm</v>
      </c>
      <c r="G74" s="420" t="s">
        <v>360</v>
      </c>
      <c r="H74" s="420" t="s">
        <v>215</v>
      </c>
      <c r="I74" s="420" t="s">
        <v>361</v>
      </c>
      <c r="K74" s="421">
        <f t="shared" si="9"/>
        <v>1978.7125428643328</v>
      </c>
      <c r="M74" s="421">
        <v>2000</v>
      </c>
      <c r="P74" s="420">
        <v>1978.7125428643328</v>
      </c>
    </row>
    <row r="75" spans="1:16" x14ac:dyDescent="0.3">
      <c r="A75" s="420">
        <v>6</v>
      </c>
      <c r="C75" s="420">
        <f t="shared" si="5"/>
        <v>12</v>
      </c>
      <c r="D75" s="420">
        <f t="shared" si="6"/>
        <v>12</v>
      </c>
      <c r="E75" s="420">
        <f t="shared" si="7"/>
        <v>13</v>
      </c>
      <c r="F75" s="420" t="str">
        <f t="shared" si="8"/>
        <v>pm</v>
      </c>
      <c r="G75" s="420" t="s">
        <v>362</v>
      </c>
      <c r="H75" s="420" t="s">
        <v>288</v>
      </c>
      <c r="I75" s="420" t="s">
        <v>363</v>
      </c>
      <c r="K75" s="421">
        <f t="shared" si="9"/>
        <v>1941.3772442307425</v>
      </c>
      <c r="M75" s="421">
        <v>2000</v>
      </c>
      <c r="O75" s="420">
        <v>1941.3772442307425</v>
      </c>
    </row>
    <row r="76" spans="1:16" x14ac:dyDescent="0.3">
      <c r="A76" s="420">
        <v>2</v>
      </c>
      <c r="C76" s="420">
        <f t="shared" si="5"/>
        <v>13</v>
      </c>
      <c r="D76" s="420">
        <f t="shared" si="6"/>
        <v>13</v>
      </c>
      <c r="E76" s="420">
        <f t="shared" si="7"/>
        <v>13</v>
      </c>
      <c r="F76" s="420" t="str">
        <f t="shared" si="8"/>
        <v>pm</v>
      </c>
      <c r="G76" s="420" t="s">
        <v>364</v>
      </c>
      <c r="H76" s="420" t="s">
        <v>227</v>
      </c>
      <c r="I76" s="420" t="s">
        <v>365</v>
      </c>
      <c r="K76" s="421">
        <f t="shared" si="9"/>
        <v>2000</v>
      </c>
      <c r="M76" s="421">
        <v>2000</v>
      </c>
    </row>
    <row r="77" spans="1:16" x14ac:dyDescent="0.3">
      <c r="A77" s="420">
        <v>2</v>
      </c>
      <c r="C77" s="420">
        <f t="shared" si="5"/>
        <v>14</v>
      </c>
      <c r="D77" s="420">
        <f t="shared" si="6"/>
        <v>13</v>
      </c>
      <c r="E77" s="420">
        <f t="shared" si="7"/>
        <v>13</v>
      </c>
      <c r="F77" s="420" t="str">
        <f t="shared" si="8"/>
        <v>pm</v>
      </c>
      <c r="G77" s="420" t="s">
        <v>366</v>
      </c>
      <c r="H77" s="420" t="s">
        <v>221</v>
      </c>
      <c r="I77" s="420" t="s">
        <v>367</v>
      </c>
      <c r="K77" s="421">
        <f t="shared" si="9"/>
        <v>2000</v>
      </c>
      <c r="M77" s="421">
        <v>2000</v>
      </c>
    </row>
    <row r="78" spans="1:16" x14ac:dyDescent="0.3">
      <c r="A78" s="420">
        <v>1</v>
      </c>
      <c r="C78" s="420">
        <f t="shared" si="5"/>
        <v>15</v>
      </c>
      <c r="D78" s="420">
        <f t="shared" si="6"/>
        <v>13</v>
      </c>
      <c r="E78" s="420">
        <f t="shared" si="7"/>
        <v>13</v>
      </c>
      <c r="F78" s="420" t="str">
        <f t="shared" si="8"/>
        <v>crx</v>
      </c>
      <c r="G78" s="420" t="s">
        <v>368</v>
      </c>
      <c r="H78" s="420" t="s">
        <v>369</v>
      </c>
      <c r="I78" s="420" t="s">
        <v>370</v>
      </c>
      <c r="K78" s="421">
        <f t="shared" si="9"/>
        <v>2000</v>
      </c>
      <c r="M78" s="421">
        <v>2000</v>
      </c>
    </row>
    <row r="79" spans="1:16" x14ac:dyDescent="0.3">
      <c r="A79" s="420">
        <v>1</v>
      </c>
      <c r="C79" s="420">
        <f t="shared" si="5"/>
        <v>16</v>
      </c>
      <c r="D79" s="420">
        <f t="shared" si="6"/>
        <v>13</v>
      </c>
      <c r="E79" s="420">
        <f t="shared" si="7"/>
        <v>13</v>
      </c>
      <c r="F79" s="420" t="str">
        <f t="shared" si="8"/>
        <v>crx</v>
      </c>
      <c r="G79" s="420" t="s">
        <v>371</v>
      </c>
      <c r="H79" s="420" t="s">
        <v>372</v>
      </c>
      <c r="I79" s="420" t="s">
        <v>373</v>
      </c>
      <c r="K79" s="421">
        <f t="shared" si="9"/>
        <v>2000</v>
      </c>
      <c r="M79" s="421">
        <v>2000</v>
      </c>
    </row>
    <row r="80" spans="1:16" x14ac:dyDescent="0.3">
      <c r="A80" s="420">
        <v>1</v>
      </c>
      <c r="C80" s="420">
        <f t="shared" si="5"/>
        <v>17</v>
      </c>
      <c r="D80" s="420">
        <f t="shared" si="6"/>
        <v>13</v>
      </c>
      <c r="E80" s="420">
        <f t="shared" si="7"/>
        <v>13</v>
      </c>
      <c r="F80" s="420" t="str">
        <f t="shared" si="8"/>
        <v>sox</v>
      </c>
      <c r="G80" s="420" t="s">
        <v>374</v>
      </c>
      <c r="H80" s="420" t="s">
        <v>375</v>
      </c>
      <c r="I80" s="420" t="s">
        <v>376</v>
      </c>
      <c r="K80" s="421">
        <f t="shared" si="9"/>
        <v>2000</v>
      </c>
      <c r="M80" s="421">
        <v>2000</v>
      </c>
    </row>
    <row r="81" spans="1:16" x14ac:dyDescent="0.3">
      <c r="A81" s="420">
        <v>6</v>
      </c>
      <c r="C81" s="420">
        <f t="shared" si="5"/>
        <v>18</v>
      </c>
      <c r="D81" s="420">
        <f t="shared" si="6"/>
        <v>18</v>
      </c>
      <c r="E81" s="420">
        <f t="shared" si="7"/>
        <v>13</v>
      </c>
      <c r="F81" s="420" t="str">
        <f t="shared" si="8"/>
        <v>pm</v>
      </c>
      <c r="G81" s="420" t="s">
        <v>377</v>
      </c>
      <c r="H81" s="420" t="s">
        <v>288</v>
      </c>
      <c r="I81" s="420" t="s">
        <v>378</v>
      </c>
      <c r="K81" s="421">
        <f t="shared" si="9"/>
        <v>1966.6666666666667</v>
      </c>
      <c r="M81" s="421">
        <v>1966.6666666666667</v>
      </c>
    </row>
    <row r="82" spans="1:16" x14ac:dyDescent="0.3">
      <c r="A82" s="420">
        <v>4</v>
      </c>
      <c r="C82" s="420">
        <f t="shared" si="5"/>
        <v>19</v>
      </c>
      <c r="D82" s="420">
        <f t="shared" si="6"/>
        <v>19</v>
      </c>
      <c r="E82" s="420">
        <f t="shared" si="7"/>
        <v>13</v>
      </c>
      <c r="F82" s="420" t="str">
        <f t="shared" si="8"/>
        <v>pm</v>
      </c>
      <c r="G82" s="420" t="s">
        <v>379</v>
      </c>
      <c r="H82" s="420" t="s">
        <v>352</v>
      </c>
      <c r="I82" s="420" t="s">
        <v>380</v>
      </c>
      <c r="K82" s="421">
        <f t="shared" si="9"/>
        <v>1900</v>
      </c>
      <c r="M82" s="421">
        <v>1900</v>
      </c>
    </row>
    <row r="83" spans="1:16" x14ac:dyDescent="0.3">
      <c r="A83" s="420">
        <v>3</v>
      </c>
      <c r="C83" s="420">
        <f t="shared" si="5"/>
        <v>20</v>
      </c>
      <c r="D83" s="420">
        <f t="shared" si="6"/>
        <v>20</v>
      </c>
      <c r="E83" s="420">
        <f t="shared" si="7"/>
        <v>13</v>
      </c>
      <c r="F83" s="420" t="str">
        <f t="shared" si="8"/>
        <v>pm</v>
      </c>
      <c r="G83" s="420" t="s">
        <v>381</v>
      </c>
      <c r="H83" s="420" t="s">
        <v>215</v>
      </c>
      <c r="I83" s="420" t="s">
        <v>382</v>
      </c>
      <c r="K83" s="421">
        <f t="shared" si="9"/>
        <v>1879.0445986616371</v>
      </c>
      <c r="M83" s="421">
        <v>1866.6666666666667</v>
      </c>
      <c r="P83" s="420">
        <v>1879.0445986616371</v>
      </c>
    </row>
    <row r="84" spans="1:16" x14ac:dyDescent="0.3">
      <c r="A84" s="420">
        <v>3</v>
      </c>
      <c r="C84" s="420">
        <f t="shared" si="5"/>
        <v>21</v>
      </c>
      <c r="D84" s="420">
        <f t="shared" si="6"/>
        <v>21</v>
      </c>
      <c r="E84" s="420">
        <f t="shared" si="7"/>
        <v>13</v>
      </c>
      <c r="F84" s="420" t="str">
        <f t="shared" si="8"/>
        <v>so</v>
      </c>
      <c r="G84" s="420" t="s">
        <v>383</v>
      </c>
      <c r="H84" s="420" t="s">
        <v>384</v>
      </c>
      <c r="I84" s="420" t="s">
        <v>385</v>
      </c>
      <c r="K84" s="421">
        <f t="shared" si="9"/>
        <v>1732.406816864474</v>
      </c>
      <c r="M84" s="421">
        <v>1733.3333333333333</v>
      </c>
      <c r="P84" s="420">
        <v>1732.406816864474</v>
      </c>
    </row>
    <row r="85" spans="1:16" x14ac:dyDescent="0.3">
      <c r="A85" s="420">
        <v>4</v>
      </c>
      <c r="C85" s="420">
        <f t="shared" si="5"/>
        <v>22</v>
      </c>
      <c r="D85" s="420">
        <f t="shared" si="6"/>
        <v>22</v>
      </c>
      <c r="E85" s="420">
        <f t="shared" si="7"/>
        <v>13</v>
      </c>
      <c r="F85" s="420" t="str">
        <f t="shared" si="8"/>
        <v>pm</v>
      </c>
      <c r="G85" s="420" t="s">
        <v>386</v>
      </c>
      <c r="H85" s="420" t="s">
        <v>283</v>
      </c>
      <c r="I85" s="420" t="s">
        <v>387</v>
      </c>
      <c r="K85" s="421">
        <f t="shared" si="9"/>
        <v>1710.6470272643505</v>
      </c>
      <c r="M85" s="421">
        <v>1700</v>
      </c>
      <c r="P85" s="420">
        <v>1710.6470272643505</v>
      </c>
    </row>
    <row r="86" spans="1:16" x14ac:dyDescent="0.3">
      <c r="A86" s="420">
        <v>5</v>
      </c>
      <c r="C86" s="420">
        <f t="shared" si="5"/>
        <v>23</v>
      </c>
      <c r="D86" s="420">
        <f t="shared" si="6"/>
        <v>23</v>
      </c>
      <c r="E86" s="420">
        <f t="shared" si="7"/>
        <v>13</v>
      </c>
      <c r="F86" s="420" t="str">
        <f t="shared" si="8"/>
        <v>pm</v>
      </c>
      <c r="G86" s="420" t="s">
        <v>388</v>
      </c>
      <c r="H86" s="420" t="s">
        <v>264</v>
      </c>
      <c r="I86" s="420" t="s">
        <v>389</v>
      </c>
      <c r="K86" s="421">
        <f t="shared" si="9"/>
        <v>1781.2397204790218</v>
      </c>
      <c r="M86" s="421">
        <v>1680</v>
      </c>
      <c r="P86" s="420">
        <v>1781.2397204790218</v>
      </c>
    </row>
    <row r="87" spans="1:16" x14ac:dyDescent="0.3">
      <c r="A87" s="420">
        <v>1</v>
      </c>
      <c r="C87" s="420">
        <f t="shared" si="5"/>
        <v>24</v>
      </c>
      <c r="D87" s="420">
        <f t="shared" si="6"/>
        <v>24</v>
      </c>
      <c r="E87" s="420">
        <f t="shared" si="7"/>
        <v>13</v>
      </c>
      <c r="F87" s="420" t="str">
        <f t="shared" si="8"/>
        <v>pmx</v>
      </c>
      <c r="G87" s="420" t="s">
        <v>390</v>
      </c>
      <c r="H87" s="420" t="s">
        <v>237</v>
      </c>
      <c r="I87" s="420" t="s">
        <v>391</v>
      </c>
      <c r="K87" s="421">
        <f t="shared" si="9"/>
        <v>1600</v>
      </c>
      <c r="M87" s="421">
        <v>1600</v>
      </c>
    </row>
    <row r="88" spans="1:16" x14ac:dyDescent="0.3">
      <c r="A88" s="420">
        <v>3</v>
      </c>
      <c r="C88" s="420">
        <f t="shared" si="5"/>
        <v>25</v>
      </c>
      <c r="D88" s="420">
        <f t="shared" si="6"/>
        <v>25</v>
      </c>
      <c r="E88" s="420">
        <f t="shared" si="7"/>
        <v>13</v>
      </c>
      <c r="F88" s="420" t="str">
        <f t="shared" si="8"/>
        <v>pm</v>
      </c>
      <c r="G88" s="420" t="s">
        <v>392</v>
      </c>
      <c r="H88" s="420" t="s">
        <v>243</v>
      </c>
      <c r="I88" s="420" t="s">
        <v>393</v>
      </c>
      <c r="K88" s="421">
        <f t="shared" si="9"/>
        <v>1724.4275462175704</v>
      </c>
      <c r="M88" s="421">
        <v>1600</v>
      </c>
      <c r="N88" s="420">
        <v>1734.5689277635004</v>
      </c>
      <c r="P88" s="420">
        <v>1724.4275462175704</v>
      </c>
    </row>
    <row r="89" spans="1:16" x14ac:dyDescent="0.3">
      <c r="A89" s="420">
        <v>3</v>
      </c>
      <c r="C89" s="420">
        <f t="shared" si="5"/>
        <v>26</v>
      </c>
      <c r="D89" s="420">
        <f t="shared" si="6"/>
        <v>26</v>
      </c>
      <c r="E89" s="420">
        <f t="shared" si="7"/>
        <v>13</v>
      </c>
      <c r="F89" s="420" t="str">
        <f t="shared" si="8"/>
        <v>pm</v>
      </c>
      <c r="G89" s="420" t="s">
        <v>394</v>
      </c>
      <c r="H89" s="420" t="s">
        <v>243</v>
      </c>
      <c r="I89" s="420" t="s">
        <v>395</v>
      </c>
      <c r="K89" s="421">
        <f t="shared" si="9"/>
        <v>1675.5610946866284</v>
      </c>
      <c r="M89" s="421">
        <v>1600</v>
      </c>
      <c r="P89" s="420">
        <v>1675.5610946866284</v>
      </c>
    </row>
    <row r="90" spans="1:16" x14ac:dyDescent="0.3">
      <c r="A90" s="420">
        <v>3</v>
      </c>
      <c r="C90" s="420">
        <f t="shared" si="5"/>
        <v>27</v>
      </c>
      <c r="D90" s="420">
        <f t="shared" si="6"/>
        <v>27</v>
      </c>
      <c r="E90" s="420">
        <f t="shared" si="7"/>
        <v>13</v>
      </c>
      <c r="F90" s="420" t="str">
        <f t="shared" si="8"/>
        <v>pm</v>
      </c>
      <c r="G90" s="420" t="s">
        <v>396</v>
      </c>
      <c r="H90" s="420" t="s">
        <v>243</v>
      </c>
      <c r="I90" s="420" t="s">
        <v>397</v>
      </c>
      <c r="K90" s="421">
        <f t="shared" si="9"/>
        <v>1607.7647501108029</v>
      </c>
      <c r="M90" s="421">
        <v>1600</v>
      </c>
      <c r="P90" s="420">
        <v>1607.7647501108029</v>
      </c>
    </row>
    <row r="91" spans="1:16" x14ac:dyDescent="0.3">
      <c r="A91" s="420">
        <v>4</v>
      </c>
      <c r="C91" s="420">
        <f t="shared" si="5"/>
        <v>28</v>
      </c>
      <c r="D91" s="420">
        <f t="shared" si="6"/>
        <v>28</v>
      </c>
      <c r="E91" s="420">
        <f t="shared" si="7"/>
        <v>13</v>
      </c>
      <c r="F91" s="420" t="str">
        <f t="shared" si="8"/>
        <v>pm</v>
      </c>
      <c r="G91" s="420" t="s">
        <v>398</v>
      </c>
      <c r="H91" s="420" t="s">
        <v>250</v>
      </c>
      <c r="I91" s="420" t="s">
        <v>399</v>
      </c>
      <c r="K91" s="421">
        <f t="shared" si="9"/>
        <v>1600</v>
      </c>
      <c r="M91" s="421">
        <v>1600</v>
      </c>
    </row>
    <row r="92" spans="1:16" x14ac:dyDescent="0.3">
      <c r="A92" s="420">
        <v>5</v>
      </c>
      <c r="C92" s="420">
        <f t="shared" si="5"/>
        <v>29</v>
      </c>
      <c r="D92" s="420">
        <f t="shared" si="6"/>
        <v>29</v>
      </c>
      <c r="E92" s="420">
        <f t="shared" si="7"/>
        <v>13</v>
      </c>
      <c r="F92" s="420" t="str">
        <f t="shared" si="8"/>
        <v>pm</v>
      </c>
      <c r="G92" s="420" t="s">
        <v>400</v>
      </c>
      <c r="H92" s="420" t="s">
        <v>253</v>
      </c>
      <c r="I92" s="420" t="s">
        <v>401</v>
      </c>
      <c r="K92" s="421">
        <f t="shared" si="9"/>
        <v>1590.7715876195714</v>
      </c>
      <c r="M92" s="421">
        <v>1600</v>
      </c>
      <c r="P92" s="420">
        <v>1590.7715876195714</v>
      </c>
    </row>
    <row r="93" spans="1:16" x14ac:dyDescent="0.3">
      <c r="A93" s="420">
        <v>5</v>
      </c>
      <c r="C93" s="420">
        <f t="shared" si="5"/>
        <v>30</v>
      </c>
      <c r="D93" s="420">
        <f t="shared" si="6"/>
        <v>30</v>
      </c>
      <c r="E93" s="420">
        <f t="shared" si="7"/>
        <v>13</v>
      </c>
      <c r="F93" s="420" t="str">
        <f t="shared" si="8"/>
        <v>pm</v>
      </c>
      <c r="G93" s="420" t="s">
        <v>402</v>
      </c>
      <c r="H93" s="420" t="s">
        <v>256</v>
      </c>
      <c r="I93" s="420" t="s">
        <v>403</v>
      </c>
      <c r="K93" s="421">
        <f t="shared" si="9"/>
        <v>1714.4274743770873</v>
      </c>
      <c r="M93" s="421">
        <v>1600</v>
      </c>
      <c r="N93" s="420">
        <v>1703.6510057867774</v>
      </c>
      <c r="P93" s="420">
        <v>1714.4274743770873</v>
      </c>
    </row>
    <row r="94" spans="1:16" x14ac:dyDescent="0.3">
      <c r="A94" s="420">
        <v>4</v>
      </c>
      <c r="C94" s="420">
        <f t="shared" si="5"/>
        <v>31</v>
      </c>
      <c r="D94" s="420">
        <f t="shared" si="6"/>
        <v>31</v>
      </c>
      <c r="E94" s="420">
        <f t="shared" si="7"/>
        <v>13</v>
      </c>
      <c r="F94" s="420" t="str">
        <f t="shared" si="8"/>
        <v>pm</v>
      </c>
      <c r="G94" s="420" t="s">
        <v>404</v>
      </c>
      <c r="H94" s="420" t="s">
        <v>256</v>
      </c>
      <c r="I94" s="420" t="s">
        <v>405</v>
      </c>
      <c r="K94" s="421">
        <f t="shared" si="9"/>
        <v>1717.3090759057159</v>
      </c>
      <c r="M94" s="421">
        <v>1600</v>
      </c>
      <c r="P94" s="420">
        <v>1717.3090759057159</v>
      </c>
    </row>
    <row r="95" spans="1:16" x14ac:dyDescent="0.3">
      <c r="A95" s="420">
        <v>6</v>
      </c>
      <c r="C95" s="420">
        <f t="shared" si="5"/>
        <v>32</v>
      </c>
      <c r="D95" s="420">
        <f t="shared" si="6"/>
        <v>32</v>
      </c>
      <c r="E95" s="420">
        <f t="shared" si="7"/>
        <v>13</v>
      </c>
      <c r="F95" s="420" t="str">
        <f t="shared" si="8"/>
        <v>pm</v>
      </c>
      <c r="G95" s="420" t="s">
        <v>406</v>
      </c>
      <c r="H95" s="420" t="s">
        <v>261</v>
      </c>
      <c r="I95" s="420" t="s">
        <v>407</v>
      </c>
      <c r="K95" s="421">
        <f t="shared" si="9"/>
        <v>1616.737428819403</v>
      </c>
      <c r="M95" s="421">
        <v>1600</v>
      </c>
      <c r="P95" s="420">
        <v>1616.737428819403</v>
      </c>
    </row>
    <row r="96" spans="1:16" x14ac:dyDescent="0.3">
      <c r="A96" s="420">
        <v>4</v>
      </c>
      <c r="C96" s="420">
        <f t="shared" si="5"/>
        <v>33</v>
      </c>
      <c r="D96" s="420">
        <f t="shared" si="6"/>
        <v>33</v>
      </c>
      <c r="E96" s="420">
        <f t="shared" si="7"/>
        <v>13</v>
      </c>
      <c r="F96" s="420" t="str">
        <f t="shared" si="8"/>
        <v>pm</v>
      </c>
      <c r="G96" s="420" t="s">
        <v>408</v>
      </c>
      <c r="H96" s="420" t="s">
        <v>261</v>
      </c>
      <c r="I96" s="420" t="s">
        <v>409</v>
      </c>
      <c r="K96" s="421">
        <f t="shared" si="9"/>
        <v>1547.9196897344852</v>
      </c>
      <c r="M96" s="421">
        <v>1600</v>
      </c>
      <c r="P96" s="420">
        <v>1547.9196897344852</v>
      </c>
    </row>
    <row r="97" spans="1:16" x14ac:dyDescent="0.3">
      <c r="A97" s="420">
        <v>4</v>
      </c>
      <c r="C97" s="420">
        <f t="shared" si="5"/>
        <v>34</v>
      </c>
      <c r="D97" s="420">
        <f t="shared" si="6"/>
        <v>34</v>
      </c>
      <c r="E97" s="420">
        <f t="shared" si="7"/>
        <v>13</v>
      </c>
      <c r="F97" s="420" t="str">
        <f t="shared" si="8"/>
        <v>pm</v>
      </c>
      <c r="G97" s="420" t="s">
        <v>410</v>
      </c>
      <c r="H97" s="420" t="s">
        <v>411</v>
      </c>
      <c r="I97" s="420" t="s">
        <v>412</v>
      </c>
      <c r="K97" s="421">
        <f t="shared" si="9"/>
        <v>1579.8660708915113</v>
      </c>
      <c r="M97" s="421">
        <v>1600</v>
      </c>
      <c r="P97" s="420">
        <v>1579.8660708915113</v>
      </c>
    </row>
    <row r="98" spans="1:16" x14ac:dyDescent="0.3">
      <c r="A98" s="420">
        <v>3</v>
      </c>
      <c r="C98" s="420">
        <f t="shared" si="5"/>
        <v>35</v>
      </c>
      <c r="D98" s="420">
        <f t="shared" si="6"/>
        <v>35</v>
      </c>
      <c r="E98" s="420">
        <f t="shared" si="7"/>
        <v>13</v>
      </c>
      <c r="F98" s="420" t="str">
        <f t="shared" si="8"/>
        <v>pm</v>
      </c>
      <c r="G98" s="420" t="s">
        <v>413</v>
      </c>
      <c r="H98" s="420" t="s">
        <v>267</v>
      </c>
      <c r="I98" s="420" t="s">
        <v>414</v>
      </c>
      <c r="K98" s="421">
        <f t="shared" si="9"/>
        <v>1600</v>
      </c>
      <c r="M98" s="421">
        <v>1600</v>
      </c>
    </row>
    <row r="99" spans="1:16" x14ac:dyDescent="0.3">
      <c r="A99" s="420">
        <v>7</v>
      </c>
      <c r="C99" s="420">
        <f t="shared" si="5"/>
        <v>36</v>
      </c>
      <c r="D99" s="420">
        <f t="shared" si="6"/>
        <v>36</v>
      </c>
      <c r="E99" s="420">
        <f t="shared" si="7"/>
        <v>13</v>
      </c>
      <c r="F99" s="420" t="str">
        <f t="shared" si="8"/>
        <v>pm</v>
      </c>
      <c r="G99" s="420" t="s">
        <v>415</v>
      </c>
      <c r="H99" s="420" t="s">
        <v>416</v>
      </c>
      <c r="I99" s="420" t="s">
        <v>417</v>
      </c>
      <c r="K99" s="421">
        <f t="shared" si="9"/>
        <v>1451.1605393968732</v>
      </c>
      <c r="M99" s="421">
        <v>1600</v>
      </c>
      <c r="N99" s="420">
        <v>1534.3498710699218</v>
      </c>
      <c r="P99" s="420">
        <v>1451.1605393968732</v>
      </c>
    </row>
    <row r="100" spans="1:16" x14ac:dyDescent="0.3">
      <c r="A100" s="420">
        <v>6</v>
      </c>
      <c r="C100" s="420">
        <f t="shared" si="5"/>
        <v>37</v>
      </c>
      <c r="D100" s="420">
        <f t="shared" si="6"/>
        <v>37</v>
      </c>
      <c r="E100" s="420">
        <f t="shared" si="7"/>
        <v>13</v>
      </c>
      <c r="F100" s="420" t="str">
        <f t="shared" si="8"/>
        <v>pm</v>
      </c>
      <c r="G100" s="420" t="s">
        <v>418</v>
      </c>
      <c r="H100" s="420" t="s">
        <v>224</v>
      </c>
      <c r="I100" s="420" t="s">
        <v>419</v>
      </c>
      <c r="K100" s="421">
        <f t="shared" si="9"/>
        <v>1533.7444995390174</v>
      </c>
      <c r="M100" s="421">
        <v>1600</v>
      </c>
      <c r="P100" s="420">
        <v>1533.7444995390174</v>
      </c>
    </row>
    <row r="101" spans="1:16" x14ac:dyDescent="0.3">
      <c r="A101" s="420">
        <v>6</v>
      </c>
      <c r="C101" s="420">
        <f t="shared" si="5"/>
        <v>38</v>
      </c>
      <c r="D101" s="420">
        <f t="shared" si="6"/>
        <v>38</v>
      </c>
      <c r="E101" s="420">
        <f t="shared" si="7"/>
        <v>13</v>
      </c>
      <c r="F101" s="420" t="str">
        <f t="shared" si="8"/>
        <v>pm</v>
      </c>
      <c r="G101" s="420" t="s">
        <v>420</v>
      </c>
      <c r="H101" s="420" t="s">
        <v>224</v>
      </c>
      <c r="I101" s="420" t="s">
        <v>421</v>
      </c>
      <c r="K101" s="421">
        <f t="shared" si="9"/>
        <v>1597.3879142967439</v>
      </c>
      <c r="M101" s="421">
        <v>1600</v>
      </c>
      <c r="P101" s="420">
        <v>1597.3879142967439</v>
      </c>
    </row>
    <row r="102" spans="1:16" x14ac:dyDescent="0.3">
      <c r="A102" s="420">
        <v>6</v>
      </c>
      <c r="C102" s="420">
        <f t="shared" si="5"/>
        <v>39</v>
      </c>
      <c r="D102" s="420">
        <f t="shared" si="6"/>
        <v>39</v>
      </c>
      <c r="E102" s="420">
        <f t="shared" si="7"/>
        <v>13</v>
      </c>
      <c r="F102" s="420" t="str">
        <f t="shared" si="8"/>
        <v>pm</v>
      </c>
      <c r="G102" s="420" t="s">
        <v>422</v>
      </c>
      <c r="H102" s="420" t="s">
        <v>224</v>
      </c>
      <c r="I102" s="420" t="s">
        <v>423</v>
      </c>
      <c r="K102" s="421">
        <f t="shared" si="9"/>
        <v>1648.4137496847168</v>
      </c>
      <c r="M102" s="421">
        <v>1600</v>
      </c>
      <c r="P102" s="420">
        <v>1648.4137496847168</v>
      </c>
    </row>
    <row r="103" spans="1:16" x14ac:dyDescent="0.3">
      <c r="A103" s="420">
        <v>6</v>
      </c>
      <c r="C103" s="420">
        <f t="shared" si="5"/>
        <v>40</v>
      </c>
      <c r="D103" s="420">
        <f t="shared" si="6"/>
        <v>40</v>
      </c>
      <c r="E103" s="420">
        <f t="shared" si="7"/>
        <v>13</v>
      </c>
      <c r="F103" s="420" t="str">
        <f t="shared" si="8"/>
        <v>pm</v>
      </c>
      <c r="G103" s="420" t="s">
        <v>424</v>
      </c>
      <c r="H103" s="420" t="s">
        <v>224</v>
      </c>
      <c r="I103" s="420" t="s">
        <v>425</v>
      </c>
      <c r="K103" s="421">
        <f t="shared" si="9"/>
        <v>1620.996700650938</v>
      </c>
      <c r="M103" s="421">
        <v>1600</v>
      </c>
      <c r="P103" s="420">
        <v>1620.996700650938</v>
      </c>
    </row>
    <row r="104" spans="1:16" x14ac:dyDescent="0.3">
      <c r="A104" s="420">
        <v>3</v>
      </c>
      <c r="C104" s="420">
        <f t="shared" si="5"/>
        <v>41</v>
      </c>
      <c r="D104" s="420">
        <f t="shared" si="6"/>
        <v>41</v>
      </c>
      <c r="E104" s="420">
        <f t="shared" si="7"/>
        <v>13</v>
      </c>
      <c r="F104" s="420" t="str">
        <f t="shared" si="8"/>
        <v>pm</v>
      </c>
      <c r="G104" s="420" t="s">
        <v>426</v>
      </c>
      <c r="H104" s="420" t="s">
        <v>328</v>
      </c>
      <c r="I104" s="420" t="s">
        <v>427</v>
      </c>
      <c r="K104" s="421">
        <f t="shared" si="9"/>
        <v>1600</v>
      </c>
      <c r="M104" s="421">
        <v>1600</v>
      </c>
    </row>
    <row r="105" spans="1:16" x14ac:dyDescent="0.3">
      <c r="A105" s="420">
        <v>7</v>
      </c>
      <c r="C105" s="420">
        <f t="shared" si="5"/>
        <v>42</v>
      </c>
      <c r="D105" s="420">
        <f t="shared" si="6"/>
        <v>42</v>
      </c>
      <c r="E105" s="420">
        <f t="shared" si="7"/>
        <v>13</v>
      </c>
      <c r="F105" s="420" t="str">
        <f t="shared" si="8"/>
        <v>pm</v>
      </c>
      <c r="G105" s="420" t="s">
        <v>428</v>
      </c>
      <c r="H105" s="420" t="s">
        <v>278</v>
      </c>
      <c r="I105" s="420" t="s">
        <v>429</v>
      </c>
      <c r="K105" s="421">
        <f t="shared" si="9"/>
        <v>1598.9138359307153</v>
      </c>
      <c r="M105" s="421">
        <v>1600</v>
      </c>
      <c r="N105" s="420">
        <v>1633.4553905753462</v>
      </c>
      <c r="P105" s="420">
        <v>1598.9138359307153</v>
      </c>
    </row>
    <row r="106" spans="1:16" x14ac:dyDescent="0.3">
      <c r="A106" s="420">
        <v>3</v>
      </c>
      <c r="C106" s="420">
        <f t="shared" si="5"/>
        <v>43</v>
      </c>
      <c r="D106" s="420">
        <f t="shared" si="6"/>
        <v>43</v>
      </c>
      <c r="E106" s="420">
        <f t="shared" si="7"/>
        <v>13</v>
      </c>
      <c r="F106" s="420" t="str">
        <f t="shared" si="8"/>
        <v>pm</v>
      </c>
      <c r="G106" s="420" t="s">
        <v>430</v>
      </c>
      <c r="H106" s="420" t="s">
        <v>352</v>
      </c>
      <c r="I106" s="420" t="s">
        <v>431</v>
      </c>
      <c r="K106" s="421">
        <f t="shared" si="9"/>
        <v>1624.5609294988997</v>
      </c>
      <c r="M106" s="421">
        <v>1600</v>
      </c>
      <c r="P106" s="420">
        <v>1624.5609294988997</v>
      </c>
    </row>
    <row r="107" spans="1:16" x14ac:dyDescent="0.3">
      <c r="A107" s="420">
        <v>6</v>
      </c>
      <c r="C107" s="420">
        <f t="shared" si="5"/>
        <v>44</v>
      </c>
      <c r="D107" s="420">
        <f t="shared" si="6"/>
        <v>44</v>
      </c>
      <c r="E107" s="420">
        <f t="shared" si="7"/>
        <v>13</v>
      </c>
      <c r="F107" s="420" t="str">
        <f t="shared" si="8"/>
        <v>pm</v>
      </c>
      <c r="G107" s="420" t="s">
        <v>432</v>
      </c>
      <c r="H107" s="420" t="s">
        <v>288</v>
      </c>
      <c r="I107" s="420" t="s">
        <v>433</v>
      </c>
      <c r="K107" s="421">
        <f t="shared" si="9"/>
        <v>1573.3453296849921</v>
      </c>
      <c r="M107" s="421">
        <v>1600</v>
      </c>
      <c r="P107" s="420">
        <v>1573.3453296849921</v>
      </c>
    </row>
    <row r="108" spans="1:16" x14ac:dyDescent="0.3">
      <c r="A108" s="420">
        <v>6</v>
      </c>
      <c r="C108" s="420">
        <f t="shared" si="5"/>
        <v>45</v>
      </c>
      <c r="D108" s="420">
        <f t="shared" si="6"/>
        <v>45</v>
      </c>
      <c r="E108" s="420">
        <f t="shared" si="7"/>
        <v>13</v>
      </c>
      <c r="F108" s="420" t="str">
        <f t="shared" si="8"/>
        <v>pm</v>
      </c>
      <c r="G108" s="420" t="s">
        <v>434</v>
      </c>
      <c r="H108" s="420" t="s">
        <v>288</v>
      </c>
      <c r="I108" s="420" t="s">
        <v>435</v>
      </c>
      <c r="K108" s="421">
        <f t="shared" si="9"/>
        <v>1517.3416472478507</v>
      </c>
      <c r="M108" s="421">
        <v>1600</v>
      </c>
      <c r="P108" s="420">
        <v>1517.3416472478507</v>
      </c>
    </row>
    <row r="109" spans="1:16" x14ac:dyDescent="0.3">
      <c r="A109" s="420">
        <v>5</v>
      </c>
      <c r="C109" s="420">
        <f t="shared" si="5"/>
        <v>46</v>
      </c>
      <c r="D109" s="420">
        <f t="shared" si="6"/>
        <v>46</v>
      </c>
      <c r="E109" s="420">
        <f t="shared" si="7"/>
        <v>13</v>
      </c>
      <c r="F109" s="420" t="str">
        <f t="shared" si="8"/>
        <v>pm</v>
      </c>
      <c r="G109" s="420" t="s">
        <v>436</v>
      </c>
      <c r="H109" s="420" t="s">
        <v>437</v>
      </c>
      <c r="I109" s="420" t="s">
        <v>438</v>
      </c>
      <c r="K109" s="421">
        <f t="shared" si="9"/>
        <v>1519.0582184667064</v>
      </c>
      <c r="M109" s="421">
        <v>1600</v>
      </c>
      <c r="P109" s="420">
        <v>1519.0582184667064</v>
      </c>
    </row>
    <row r="110" spans="1:16" x14ac:dyDescent="0.3">
      <c r="A110" s="420">
        <v>3</v>
      </c>
      <c r="C110" s="420">
        <f t="shared" si="5"/>
        <v>47</v>
      </c>
      <c r="D110" s="420">
        <f t="shared" si="6"/>
        <v>47</v>
      </c>
      <c r="E110" s="420">
        <f t="shared" si="7"/>
        <v>13</v>
      </c>
      <c r="F110" s="420" t="str">
        <f t="shared" si="8"/>
        <v>cr</v>
      </c>
      <c r="G110" s="420" t="s">
        <v>439</v>
      </c>
      <c r="H110" s="420" t="s">
        <v>203</v>
      </c>
      <c r="I110" s="420" t="s">
        <v>440</v>
      </c>
      <c r="K110" s="421">
        <f t="shared" si="9"/>
        <v>1661.5665624514031</v>
      </c>
      <c r="M110" s="421">
        <v>1600</v>
      </c>
      <c r="P110" s="420">
        <v>1661.5665624514031</v>
      </c>
    </row>
    <row r="111" spans="1:16" x14ac:dyDescent="0.3">
      <c r="A111" s="420">
        <v>3</v>
      </c>
      <c r="C111" s="420">
        <f t="shared" si="5"/>
        <v>48</v>
      </c>
      <c r="D111" s="420">
        <f t="shared" si="6"/>
        <v>48</v>
      </c>
      <c r="E111" s="420">
        <f t="shared" si="7"/>
        <v>13</v>
      </c>
      <c r="F111" s="420" t="str">
        <f t="shared" si="8"/>
        <v>cr</v>
      </c>
      <c r="G111" s="420" t="s">
        <v>441</v>
      </c>
      <c r="H111" s="420" t="s">
        <v>203</v>
      </c>
      <c r="I111" s="420" t="s">
        <v>442</v>
      </c>
      <c r="K111" s="421">
        <f t="shared" si="9"/>
        <v>1559.6889762457713</v>
      </c>
      <c r="M111" s="421">
        <v>1600</v>
      </c>
      <c r="P111" s="420">
        <v>1559.6889762457713</v>
      </c>
    </row>
    <row r="112" spans="1:16" x14ac:dyDescent="0.3">
      <c r="A112" s="420">
        <v>3</v>
      </c>
      <c r="C112" s="420">
        <f t="shared" si="5"/>
        <v>49</v>
      </c>
      <c r="D112" s="420">
        <f t="shared" si="6"/>
        <v>49</v>
      </c>
      <c r="E112" s="420">
        <f t="shared" si="7"/>
        <v>13</v>
      </c>
      <c r="F112" s="420" t="str">
        <f t="shared" si="8"/>
        <v>cr</v>
      </c>
      <c r="G112" s="420" t="s">
        <v>443</v>
      </c>
      <c r="H112" s="420" t="s">
        <v>203</v>
      </c>
      <c r="I112" s="420" t="s">
        <v>444</v>
      </c>
      <c r="K112" s="421">
        <f t="shared" si="9"/>
        <v>1511.3897934488341</v>
      </c>
      <c r="M112" s="421">
        <v>1600</v>
      </c>
      <c r="P112" s="420">
        <v>1511.3897934488341</v>
      </c>
    </row>
    <row r="113" spans="1:16" x14ac:dyDescent="0.3">
      <c r="A113" s="420">
        <v>1</v>
      </c>
      <c r="C113" s="420">
        <f t="shared" si="5"/>
        <v>50</v>
      </c>
      <c r="D113" s="420">
        <f t="shared" si="6"/>
        <v>50</v>
      </c>
      <c r="E113" s="420">
        <f t="shared" si="7"/>
        <v>13</v>
      </c>
      <c r="F113" s="420" t="str">
        <f t="shared" si="8"/>
        <v>crx</v>
      </c>
      <c r="G113" s="420" t="s">
        <v>445</v>
      </c>
      <c r="H113" s="420" t="s">
        <v>302</v>
      </c>
      <c r="I113" s="420" t="s">
        <v>446</v>
      </c>
      <c r="K113" s="421">
        <f t="shared" si="9"/>
        <v>1660.2940034477117</v>
      </c>
      <c r="M113" s="421">
        <v>1600</v>
      </c>
      <c r="P113" s="420">
        <v>1660.2940034477117</v>
      </c>
    </row>
    <row r="114" spans="1:16" x14ac:dyDescent="0.3">
      <c r="A114" s="420">
        <v>3</v>
      </c>
      <c r="C114" s="420">
        <f t="shared" si="5"/>
        <v>51</v>
      </c>
      <c r="D114" s="420">
        <f t="shared" si="6"/>
        <v>51</v>
      </c>
      <c r="E114" s="420">
        <f t="shared" si="7"/>
        <v>13</v>
      </c>
      <c r="F114" s="420" t="str">
        <f t="shared" si="8"/>
        <v>cr</v>
      </c>
      <c r="G114" s="420" t="s">
        <v>447</v>
      </c>
      <c r="H114" s="420" t="s">
        <v>448</v>
      </c>
      <c r="I114" s="420" t="s">
        <v>449</v>
      </c>
      <c r="K114" s="421">
        <f t="shared" si="9"/>
        <v>1600</v>
      </c>
      <c r="M114" s="421">
        <v>1600</v>
      </c>
    </row>
    <row r="115" spans="1:16" x14ac:dyDescent="0.3">
      <c r="A115" s="420">
        <v>1</v>
      </c>
      <c r="C115" s="420">
        <f t="shared" si="5"/>
        <v>52</v>
      </c>
      <c r="D115" s="420">
        <f t="shared" si="6"/>
        <v>51</v>
      </c>
      <c r="E115" s="420">
        <f t="shared" si="7"/>
        <v>13</v>
      </c>
      <c r="F115" s="420" t="str">
        <f t="shared" si="8"/>
        <v>sox</v>
      </c>
      <c r="G115" s="420" t="s">
        <v>450</v>
      </c>
      <c r="H115" s="420" t="s">
        <v>375</v>
      </c>
      <c r="I115" s="420" t="s">
        <v>451</v>
      </c>
      <c r="K115" s="421">
        <f t="shared" si="9"/>
        <v>1600</v>
      </c>
      <c r="M115" s="421">
        <v>1600</v>
      </c>
    </row>
    <row r="116" spans="1:16" x14ac:dyDescent="0.3">
      <c r="A116" s="420">
        <v>1</v>
      </c>
      <c r="C116" s="420">
        <f t="shared" si="5"/>
        <v>53</v>
      </c>
      <c r="D116" s="420">
        <f t="shared" si="6"/>
        <v>51</v>
      </c>
      <c r="E116" s="420">
        <f t="shared" si="7"/>
        <v>13</v>
      </c>
      <c r="F116" s="420" t="str">
        <f t="shared" si="8"/>
        <v>sox</v>
      </c>
      <c r="G116" s="420" t="s">
        <v>452</v>
      </c>
      <c r="H116" s="420" t="s">
        <v>453</v>
      </c>
      <c r="I116" s="420" t="s">
        <v>454</v>
      </c>
      <c r="K116" s="421">
        <f t="shared" si="9"/>
        <v>1600</v>
      </c>
      <c r="M116" s="421">
        <v>1600</v>
      </c>
    </row>
    <row r="117" spans="1:16" x14ac:dyDescent="0.3">
      <c r="A117" s="420">
        <v>4</v>
      </c>
      <c r="C117" s="420">
        <f t="shared" si="5"/>
        <v>1</v>
      </c>
      <c r="D117" s="420">
        <f t="shared" si="6"/>
        <v>1</v>
      </c>
      <c r="E117" s="420">
        <f t="shared" si="7"/>
        <v>14</v>
      </c>
      <c r="F117" s="420" t="str">
        <f t="shared" si="8"/>
        <v>pm</v>
      </c>
      <c r="G117" s="420" t="s">
        <v>455</v>
      </c>
      <c r="H117" s="420" t="s">
        <v>243</v>
      </c>
      <c r="I117" s="420" t="s">
        <v>456</v>
      </c>
      <c r="K117" s="421">
        <f t="shared" si="9"/>
        <v>2151.3312763980157</v>
      </c>
      <c r="M117" s="421">
        <v>2200</v>
      </c>
      <c r="P117" s="420">
        <v>2151.3312763980157</v>
      </c>
    </row>
    <row r="118" spans="1:16" x14ac:dyDescent="0.3">
      <c r="A118" s="420">
        <v>4</v>
      </c>
      <c r="C118" s="420">
        <f t="shared" si="5"/>
        <v>2</v>
      </c>
      <c r="D118" s="420">
        <f t="shared" si="6"/>
        <v>2</v>
      </c>
      <c r="E118" s="420">
        <f t="shared" si="7"/>
        <v>14</v>
      </c>
      <c r="F118" s="420" t="str">
        <f t="shared" si="8"/>
        <v>pm</v>
      </c>
      <c r="G118" s="420" t="s">
        <v>457</v>
      </c>
      <c r="H118" s="420" t="s">
        <v>243</v>
      </c>
      <c r="I118" s="420" t="s">
        <v>458</v>
      </c>
      <c r="K118" s="421">
        <f t="shared" si="9"/>
        <v>2156.4076860800524</v>
      </c>
      <c r="M118" s="421">
        <v>2200</v>
      </c>
      <c r="P118" s="420">
        <v>2156.4076860800524</v>
      </c>
    </row>
    <row r="119" spans="1:16" x14ac:dyDescent="0.3">
      <c r="A119" s="420">
        <v>1</v>
      </c>
      <c r="C119" s="420">
        <f t="shared" si="5"/>
        <v>3</v>
      </c>
      <c r="D119" s="420">
        <f t="shared" si="6"/>
        <v>3</v>
      </c>
      <c r="E119" s="420">
        <f t="shared" si="7"/>
        <v>14</v>
      </c>
      <c r="F119" s="420" t="str">
        <f t="shared" si="8"/>
        <v>pmx</v>
      </c>
      <c r="G119" s="420" t="s">
        <v>459</v>
      </c>
      <c r="H119" s="420" t="s">
        <v>256</v>
      </c>
      <c r="I119" s="420" t="s">
        <v>460</v>
      </c>
      <c r="K119" s="421">
        <f t="shared" si="9"/>
        <v>2268.5029408042979</v>
      </c>
      <c r="M119" s="421">
        <v>2200</v>
      </c>
      <c r="P119" s="420">
        <v>2268.5029408042979</v>
      </c>
    </row>
    <row r="120" spans="1:16" x14ac:dyDescent="0.3">
      <c r="A120" s="420">
        <v>3</v>
      </c>
      <c r="C120" s="420">
        <f t="shared" si="5"/>
        <v>4</v>
      </c>
      <c r="D120" s="420">
        <f t="shared" si="6"/>
        <v>4</v>
      </c>
      <c r="E120" s="420">
        <f t="shared" si="7"/>
        <v>14</v>
      </c>
      <c r="F120" s="420" t="str">
        <f t="shared" si="8"/>
        <v>pm</v>
      </c>
      <c r="G120" s="420" t="s">
        <v>461</v>
      </c>
      <c r="H120" s="420" t="s">
        <v>256</v>
      </c>
      <c r="I120" s="420" t="s">
        <v>462</v>
      </c>
      <c r="K120" s="421">
        <f t="shared" si="9"/>
        <v>2203.730133714088</v>
      </c>
      <c r="M120" s="421">
        <v>2200</v>
      </c>
      <c r="O120" s="420">
        <v>2186.0000721639085</v>
      </c>
      <c r="P120" s="420">
        <v>2203.730133714088</v>
      </c>
    </row>
    <row r="121" spans="1:16" x14ac:dyDescent="0.3">
      <c r="A121" s="420">
        <v>5</v>
      </c>
      <c r="C121" s="420">
        <f t="shared" si="5"/>
        <v>5</v>
      </c>
      <c r="D121" s="420">
        <f t="shared" si="6"/>
        <v>5</v>
      </c>
      <c r="E121" s="420">
        <f t="shared" si="7"/>
        <v>14</v>
      </c>
      <c r="F121" s="420" t="str">
        <f t="shared" si="8"/>
        <v>pm</v>
      </c>
      <c r="G121" s="420" t="s">
        <v>463</v>
      </c>
      <c r="H121" s="420" t="s">
        <v>224</v>
      </c>
      <c r="I121" s="420" t="s">
        <v>464</v>
      </c>
      <c r="K121" s="421">
        <f t="shared" si="9"/>
        <v>2053.0946682245371</v>
      </c>
      <c r="M121" s="421">
        <v>2200</v>
      </c>
      <c r="O121" s="420">
        <v>2053.0946682245371</v>
      </c>
    </row>
    <row r="122" spans="1:16" x14ac:dyDescent="0.3">
      <c r="A122" s="420">
        <v>6</v>
      </c>
      <c r="C122" s="420">
        <f t="shared" si="5"/>
        <v>6</v>
      </c>
      <c r="D122" s="420">
        <f t="shared" si="6"/>
        <v>6</v>
      </c>
      <c r="E122" s="420">
        <f t="shared" si="7"/>
        <v>14</v>
      </c>
      <c r="F122" s="420" t="str">
        <f t="shared" si="8"/>
        <v>pm</v>
      </c>
      <c r="G122" s="420" t="s">
        <v>465</v>
      </c>
      <c r="H122" s="420" t="s">
        <v>466</v>
      </c>
      <c r="I122" s="420" t="s">
        <v>467</v>
      </c>
      <c r="K122" s="421">
        <f t="shared" si="9"/>
        <v>2241.891408622294</v>
      </c>
      <c r="M122" s="421">
        <v>2200</v>
      </c>
      <c r="O122" s="420">
        <v>2269.3527841117907</v>
      </c>
      <c r="P122" s="420">
        <v>2241.891408622294</v>
      </c>
    </row>
    <row r="123" spans="1:16" x14ac:dyDescent="0.3">
      <c r="A123" s="420">
        <v>2</v>
      </c>
      <c r="C123" s="420">
        <f t="shared" si="5"/>
        <v>7</v>
      </c>
      <c r="D123" s="420">
        <f t="shared" si="6"/>
        <v>7</v>
      </c>
      <c r="E123" s="420">
        <f t="shared" si="7"/>
        <v>14</v>
      </c>
      <c r="F123" s="420" t="str">
        <f t="shared" si="8"/>
        <v>pm</v>
      </c>
      <c r="G123" s="420" t="s">
        <v>468</v>
      </c>
      <c r="H123" s="420" t="s">
        <v>349</v>
      </c>
      <c r="I123" s="420" t="s">
        <v>469</v>
      </c>
      <c r="K123" s="421">
        <f t="shared" si="9"/>
        <v>2200</v>
      </c>
      <c r="M123" s="421">
        <v>2200</v>
      </c>
    </row>
    <row r="124" spans="1:16" x14ac:dyDescent="0.3">
      <c r="A124" s="420">
        <v>2</v>
      </c>
      <c r="C124" s="420">
        <f t="shared" si="5"/>
        <v>8</v>
      </c>
      <c r="D124" s="420">
        <f t="shared" si="6"/>
        <v>7</v>
      </c>
      <c r="E124" s="420">
        <f t="shared" si="7"/>
        <v>14</v>
      </c>
      <c r="F124" s="420" t="str">
        <f t="shared" si="8"/>
        <v>pm</v>
      </c>
      <c r="G124" s="420" t="s">
        <v>470</v>
      </c>
      <c r="H124" s="420" t="s">
        <v>352</v>
      </c>
      <c r="I124" s="420" t="s">
        <v>471</v>
      </c>
      <c r="K124" s="421">
        <f t="shared" si="9"/>
        <v>2200</v>
      </c>
      <c r="M124" s="421">
        <v>2200</v>
      </c>
    </row>
    <row r="125" spans="1:16" x14ac:dyDescent="0.3">
      <c r="A125" s="420">
        <v>1</v>
      </c>
      <c r="C125" s="420">
        <f t="shared" si="5"/>
        <v>9</v>
      </c>
      <c r="D125" s="420">
        <f t="shared" si="6"/>
        <v>9</v>
      </c>
      <c r="E125" s="420">
        <f t="shared" si="7"/>
        <v>14</v>
      </c>
      <c r="F125" s="420" t="str">
        <f t="shared" si="8"/>
        <v>pmx</v>
      </c>
      <c r="G125" s="420" t="s">
        <v>472</v>
      </c>
      <c r="H125" s="420" t="s">
        <v>192</v>
      </c>
      <c r="I125" s="420" t="s">
        <v>473</v>
      </c>
      <c r="K125" s="421">
        <f t="shared" si="9"/>
        <v>2364.2115246034632</v>
      </c>
      <c r="M125" s="421">
        <v>2200</v>
      </c>
      <c r="P125" s="420">
        <v>2364.2115246034632</v>
      </c>
    </row>
    <row r="126" spans="1:16" x14ac:dyDescent="0.3">
      <c r="A126" s="420">
        <v>1</v>
      </c>
      <c r="C126" s="420">
        <f t="shared" si="5"/>
        <v>10</v>
      </c>
      <c r="D126" s="420">
        <f t="shared" si="6"/>
        <v>10</v>
      </c>
      <c r="E126" s="420">
        <f t="shared" si="7"/>
        <v>14</v>
      </c>
      <c r="F126" s="420" t="str">
        <f t="shared" si="8"/>
        <v>pmx</v>
      </c>
      <c r="G126" s="420" t="s">
        <v>474</v>
      </c>
      <c r="H126" s="420" t="s">
        <v>192</v>
      </c>
      <c r="I126" s="420" t="s">
        <v>475</v>
      </c>
      <c r="K126" s="421">
        <f t="shared" si="9"/>
        <v>2226.2504011223741</v>
      </c>
      <c r="M126" s="421">
        <v>2200</v>
      </c>
      <c r="P126" s="420">
        <v>2226.2504011223741</v>
      </c>
    </row>
    <row r="127" spans="1:16" x14ac:dyDescent="0.3">
      <c r="A127" s="420">
        <v>4</v>
      </c>
      <c r="C127" s="420">
        <f t="shared" si="5"/>
        <v>11</v>
      </c>
      <c r="D127" s="420">
        <f t="shared" si="6"/>
        <v>11</v>
      </c>
      <c r="E127" s="420">
        <f t="shared" si="7"/>
        <v>14</v>
      </c>
      <c r="F127" s="420" t="str">
        <f t="shared" si="8"/>
        <v>pm</v>
      </c>
      <c r="G127" s="420" t="s">
        <v>476</v>
      </c>
      <c r="H127" s="420" t="s">
        <v>215</v>
      </c>
      <c r="I127" s="420" t="s">
        <v>477</v>
      </c>
      <c r="K127" s="421">
        <f t="shared" si="9"/>
        <v>2252.1735845054504</v>
      </c>
      <c r="M127" s="421">
        <v>2200</v>
      </c>
      <c r="P127" s="420">
        <v>2252.1735845054504</v>
      </c>
    </row>
    <row r="128" spans="1:16" x14ac:dyDescent="0.3">
      <c r="A128" s="420">
        <v>4</v>
      </c>
      <c r="C128" s="420">
        <f t="shared" si="5"/>
        <v>12</v>
      </c>
      <c r="D128" s="420">
        <f t="shared" si="6"/>
        <v>12</v>
      </c>
      <c r="E128" s="420">
        <f t="shared" si="7"/>
        <v>14</v>
      </c>
      <c r="F128" s="420" t="str">
        <f t="shared" si="8"/>
        <v>pm</v>
      </c>
      <c r="G128" s="420" t="s">
        <v>478</v>
      </c>
      <c r="H128" s="420" t="s">
        <v>215</v>
      </c>
      <c r="I128" s="420" t="s">
        <v>479</v>
      </c>
      <c r="K128" s="421">
        <f t="shared" si="9"/>
        <v>2244.6644171731336</v>
      </c>
      <c r="M128" s="421">
        <v>2200</v>
      </c>
      <c r="P128" s="420">
        <v>2244.6644171731336</v>
      </c>
    </row>
    <row r="129" spans="1:16" x14ac:dyDescent="0.3">
      <c r="A129" s="420">
        <v>4</v>
      </c>
      <c r="C129" s="420">
        <f t="shared" si="5"/>
        <v>13</v>
      </c>
      <c r="D129" s="420">
        <f t="shared" si="6"/>
        <v>13</v>
      </c>
      <c r="E129" s="420">
        <f t="shared" si="7"/>
        <v>14</v>
      </c>
      <c r="F129" s="420" t="str">
        <f t="shared" si="8"/>
        <v>pm</v>
      </c>
      <c r="G129" s="420" t="s">
        <v>480</v>
      </c>
      <c r="H129" s="420" t="s">
        <v>215</v>
      </c>
      <c r="I129" s="420" t="s">
        <v>481</v>
      </c>
      <c r="K129" s="421">
        <f t="shared" si="9"/>
        <v>2134.2419780029754</v>
      </c>
      <c r="M129" s="421">
        <v>2200</v>
      </c>
      <c r="P129" s="420">
        <v>2134.2419780029754</v>
      </c>
    </row>
    <row r="130" spans="1:16" x14ac:dyDescent="0.3">
      <c r="A130" s="420">
        <v>3</v>
      </c>
      <c r="C130" s="420">
        <f t="shared" ref="C130:C193" si="10">IF(E130=E129,C129+1,1)</f>
        <v>14</v>
      </c>
      <c r="D130" s="420">
        <f t="shared" ref="D130:D193" si="11">IF(K130=K129,D129,C130)</f>
        <v>14</v>
      </c>
      <c r="E130" s="420">
        <f t="shared" ref="E130:E193" si="12">10+VALUE(RIGHT(LEFT(G130,3),1))</f>
        <v>14</v>
      </c>
      <c r="F130" s="420" t="str">
        <f t="shared" ref="F130:F193" si="13">RIGHT(G130,2) &amp; IF(A130&lt;2,"x","")</f>
        <v>pm</v>
      </c>
      <c r="G130" s="420" t="s">
        <v>482</v>
      </c>
      <c r="H130" s="420" t="s">
        <v>283</v>
      </c>
      <c r="I130" s="420" t="s">
        <v>483</v>
      </c>
      <c r="K130" s="421">
        <f t="shared" ref="K130:K193" si="14">LOOKUP(1E+100,M130:AB130)</f>
        <v>2200</v>
      </c>
      <c r="M130" s="421">
        <v>2200</v>
      </c>
    </row>
    <row r="131" spans="1:16" x14ac:dyDescent="0.3">
      <c r="A131" s="420">
        <v>5</v>
      </c>
      <c r="C131" s="420">
        <f t="shared" si="10"/>
        <v>15</v>
      </c>
      <c r="D131" s="420">
        <f t="shared" si="11"/>
        <v>14</v>
      </c>
      <c r="E131" s="420">
        <f t="shared" si="12"/>
        <v>14</v>
      </c>
      <c r="F131" s="420" t="str">
        <f t="shared" si="13"/>
        <v>pm</v>
      </c>
      <c r="G131" s="420" t="s">
        <v>484</v>
      </c>
      <c r="H131" s="420" t="s">
        <v>288</v>
      </c>
      <c r="I131" s="420" t="s">
        <v>485</v>
      </c>
      <c r="K131" s="421">
        <f t="shared" si="14"/>
        <v>2200</v>
      </c>
      <c r="M131" s="421">
        <v>2200</v>
      </c>
    </row>
    <row r="132" spans="1:16" x14ac:dyDescent="0.3">
      <c r="A132" s="420">
        <v>5</v>
      </c>
      <c r="C132" s="420">
        <f t="shared" si="10"/>
        <v>16</v>
      </c>
      <c r="D132" s="420">
        <f t="shared" si="11"/>
        <v>14</v>
      </c>
      <c r="E132" s="420">
        <f t="shared" si="12"/>
        <v>14</v>
      </c>
      <c r="F132" s="420" t="str">
        <f t="shared" si="13"/>
        <v>pm</v>
      </c>
      <c r="G132" s="420" t="s">
        <v>486</v>
      </c>
      <c r="H132" s="420" t="s">
        <v>288</v>
      </c>
      <c r="I132" s="420" t="s">
        <v>487</v>
      </c>
      <c r="K132" s="421">
        <f t="shared" si="14"/>
        <v>2200</v>
      </c>
      <c r="M132" s="421">
        <v>2200</v>
      </c>
    </row>
    <row r="133" spans="1:16" x14ac:dyDescent="0.3">
      <c r="A133" s="420">
        <v>2</v>
      </c>
      <c r="C133" s="420">
        <f t="shared" si="10"/>
        <v>17</v>
      </c>
      <c r="D133" s="420">
        <f t="shared" si="11"/>
        <v>14</v>
      </c>
      <c r="E133" s="420">
        <f t="shared" si="12"/>
        <v>14</v>
      </c>
      <c r="F133" s="420" t="str">
        <f t="shared" si="13"/>
        <v>pm</v>
      </c>
      <c r="G133" s="420" t="s">
        <v>488</v>
      </c>
      <c r="H133" s="420" t="s">
        <v>288</v>
      </c>
      <c r="I133" s="420" t="s">
        <v>489</v>
      </c>
      <c r="K133" s="421">
        <f t="shared" si="14"/>
        <v>2200</v>
      </c>
      <c r="M133" s="421">
        <v>2200</v>
      </c>
    </row>
    <row r="134" spans="1:16" x14ac:dyDescent="0.3">
      <c r="A134" s="420">
        <v>2</v>
      </c>
      <c r="C134" s="420">
        <f t="shared" si="10"/>
        <v>18</v>
      </c>
      <c r="D134" s="420">
        <f t="shared" si="11"/>
        <v>18</v>
      </c>
      <c r="E134" s="420">
        <f t="shared" si="12"/>
        <v>14</v>
      </c>
      <c r="F134" s="420" t="str">
        <f t="shared" si="13"/>
        <v>pm</v>
      </c>
      <c r="G134" s="420" t="s">
        <v>490</v>
      </c>
      <c r="H134" s="420" t="s">
        <v>491</v>
      </c>
      <c r="I134" s="420" t="s">
        <v>492</v>
      </c>
      <c r="K134" s="421">
        <f t="shared" si="14"/>
        <v>2073.5421959918044</v>
      </c>
      <c r="M134" s="421">
        <v>2200</v>
      </c>
      <c r="P134" s="420">
        <v>2073.5421959918044</v>
      </c>
    </row>
    <row r="135" spans="1:16" x14ac:dyDescent="0.3">
      <c r="A135" s="420">
        <v>2</v>
      </c>
      <c r="C135" s="420">
        <f t="shared" si="10"/>
        <v>19</v>
      </c>
      <c r="D135" s="420">
        <f t="shared" si="11"/>
        <v>19</v>
      </c>
      <c r="E135" s="420">
        <f t="shared" si="12"/>
        <v>14</v>
      </c>
      <c r="F135" s="420" t="str">
        <f t="shared" si="13"/>
        <v>pm</v>
      </c>
      <c r="G135" s="420" t="s">
        <v>493</v>
      </c>
      <c r="H135" s="420" t="s">
        <v>227</v>
      </c>
      <c r="I135" s="420" t="s">
        <v>494</v>
      </c>
      <c r="K135" s="421">
        <f t="shared" si="14"/>
        <v>2200</v>
      </c>
      <c r="M135" s="421">
        <v>2200</v>
      </c>
    </row>
    <row r="136" spans="1:16" x14ac:dyDescent="0.3">
      <c r="A136" s="420">
        <v>3</v>
      </c>
      <c r="C136" s="420">
        <f t="shared" si="10"/>
        <v>20</v>
      </c>
      <c r="D136" s="420">
        <f t="shared" si="11"/>
        <v>19</v>
      </c>
      <c r="E136" s="420">
        <f t="shared" si="12"/>
        <v>14</v>
      </c>
      <c r="F136" s="420" t="str">
        <f t="shared" si="13"/>
        <v>pm</v>
      </c>
      <c r="G136" s="420" t="s">
        <v>495</v>
      </c>
      <c r="H136" s="420" t="s">
        <v>221</v>
      </c>
      <c r="I136" s="420" t="s">
        <v>496</v>
      </c>
      <c r="K136" s="421">
        <f t="shared" si="14"/>
        <v>2200</v>
      </c>
      <c r="M136" s="421">
        <v>2200</v>
      </c>
    </row>
    <row r="137" spans="1:16" x14ac:dyDescent="0.3">
      <c r="A137" s="420">
        <v>1</v>
      </c>
      <c r="C137" s="420">
        <f t="shared" si="10"/>
        <v>21</v>
      </c>
      <c r="D137" s="420">
        <f t="shared" si="11"/>
        <v>19</v>
      </c>
      <c r="E137" s="420">
        <f t="shared" si="12"/>
        <v>14</v>
      </c>
      <c r="F137" s="420" t="str">
        <f t="shared" si="13"/>
        <v>crx</v>
      </c>
      <c r="G137" s="420" t="s">
        <v>497</v>
      </c>
      <c r="H137" s="420" t="s">
        <v>369</v>
      </c>
      <c r="I137" s="420" t="s">
        <v>498</v>
      </c>
      <c r="K137" s="421">
        <f t="shared" si="14"/>
        <v>2200</v>
      </c>
      <c r="M137" s="421">
        <v>2200</v>
      </c>
    </row>
    <row r="138" spans="1:16" x14ac:dyDescent="0.3">
      <c r="A138" s="420">
        <v>1</v>
      </c>
      <c r="C138" s="420">
        <f t="shared" si="10"/>
        <v>22</v>
      </c>
      <c r="D138" s="420">
        <f t="shared" si="11"/>
        <v>19</v>
      </c>
      <c r="E138" s="420">
        <f t="shared" si="12"/>
        <v>14</v>
      </c>
      <c r="F138" s="420" t="str">
        <f t="shared" si="13"/>
        <v>crx</v>
      </c>
      <c r="G138" s="420" t="s">
        <v>499</v>
      </c>
      <c r="H138" s="420" t="s">
        <v>372</v>
      </c>
      <c r="I138" s="420" t="s">
        <v>500</v>
      </c>
      <c r="K138" s="421">
        <f t="shared" si="14"/>
        <v>2200</v>
      </c>
      <c r="M138" s="421">
        <v>2200</v>
      </c>
    </row>
    <row r="139" spans="1:16" x14ac:dyDescent="0.3">
      <c r="A139" s="420">
        <v>1</v>
      </c>
      <c r="C139" s="420">
        <f t="shared" si="10"/>
        <v>23</v>
      </c>
      <c r="D139" s="420">
        <f t="shared" si="11"/>
        <v>19</v>
      </c>
      <c r="E139" s="420">
        <f t="shared" si="12"/>
        <v>14</v>
      </c>
      <c r="F139" s="420" t="str">
        <f t="shared" si="13"/>
        <v>crx</v>
      </c>
      <c r="G139" s="420" t="s">
        <v>501</v>
      </c>
      <c r="H139" s="420" t="s">
        <v>372</v>
      </c>
      <c r="I139" s="420" t="s">
        <v>502</v>
      </c>
      <c r="K139" s="421">
        <f t="shared" si="14"/>
        <v>2200</v>
      </c>
      <c r="M139" s="421">
        <v>2200</v>
      </c>
    </row>
    <row r="140" spans="1:16" x14ac:dyDescent="0.3">
      <c r="A140" s="420">
        <v>1</v>
      </c>
      <c r="C140" s="420">
        <f t="shared" si="10"/>
        <v>24</v>
      </c>
      <c r="D140" s="420">
        <f t="shared" si="11"/>
        <v>19</v>
      </c>
      <c r="E140" s="420">
        <f t="shared" si="12"/>
        <v>14</v>
      </c>
      <c r="F140" s="420" t="str">
        <f t="shared" si="13"/>
        <v>sox</v>
      </c>
      <c r="G140" s="420" t="s">
        <v>503</v>
      </c>
      <c r="H140" s="420" t="s">
        <v>375</v>
      </c>
      <c r="I140" s="420" t="s">
        <v>504</v>
      </c>
      <c r="K140" s="421">
        <f t="shared" si="14"/>
        <v>2200</v>
      </c>
      <c r="M140" s="421">
        <v>2200</v>
      </c>
    </row>
    <row r="141" spans="1:16" x14ac:dyDescent="0.3">
      <c r="A141" s="420">
        <v>3</v>
      </c>
      <c r="C141" s="420">
        <f t="shared" si="10"/>
        <v>25</v>
      </c>
      <c r="D141" s="420">
        <f t="shared" si="11"/>
        <v>25</v>
      </c>
      <c r="E141" s="420">
        <f t="shared" si="12"/>
        <v>14</v>
      </c>
      <c r="F141" s="420" t="str">
        <f t="shared" si="13"/>
        <v>pm</v>
      </c>
      <c r="G141" s="420" t="s">
        <v>505</v>
      </c>
      <c r="H141" s="420" t="s">
        <v>243</v>
      </c>
      <c r="I141" s="420" t="s">
        <v>506</v>
      </c>
      <c r="K141" s="421">
        <f t="shared" si="14"/>
        <v>2326.5309750174952</v>
      </c>
      <c r="M141" s="421">
        <v>2200</v>
      </c>
      <c r="N141" s="420">
        <v>2326.5309750174952</v>
      </c>
    </row>
    <row r="142" spans="1:16" x14ac:dyDescent="0.3">
      <c r="A142" s="420">
        <v>5</v>
      </c>
      <c r="C142" s="420">
        <f t="shared" si="10"/>
        <v>26</v>
      </c>
      <c r="D142" s="420">
        <f t="shared" si="11"/>
        <v>26</v>
      </c>
      <c r="E142" s="420">
        <f t="shared" si="12"/>
        <v>14</v>
      </c>
      <c r="F142" s="420" t="str">
        <f t="shared" si="13"/>
        <v>pm</v>
      </c>
      <c r="G142" s="420" t="s">
        <v>507</v>
      </c>
      <c r="H142" s="420" t="s">
        <v>261</v>
      </c>
      <c r="I142" s="420" t="s">
        <v>508</v>
      </c>
      <c r="K142" s="421">
        <f t="shared" si="14"/>
        <v>2278.4525646033417</v>
      </c>
      <c r="M142" s="421">
        <v>2200</v>
      </c>
      <c r="P142" s="420">
        <v>2278.4525646033417</v>
      </c>
    </row>
    <row r="143" spans="1:16" x14ac:dyDescent="0.3">
      <c r="A143" s="420">
        <v>1</v>
      </c>
      <c r="C143" s="420">
        <f t="shared" si="10"/>
        <v>27</v>
      </c>
      <c r="D143" s="420">
        <f t="shared" si="11"/>
        <v>27</v>
      </c>
      <c r="E143" s="420">
        <f t="shared" si="12"/>
        <v>14</v>
      </c>
      <c r="F143" s="420" t="str">
        <f t="shared" si="13"/>
        <v>pmx</v>
      </c>
      <c r="G143" s="420" t="s">
        <v>509</v>
      </c>
      <c r="H143" s="420" t="s">
        <v>352</v>
      </c>
      <c r="I143" s="420" t="s">
        <v>510</v>
      </c>
      <c r="K143" s="421">
        <f t="shared" si="14"/>
        <v>2200</v>
      </c>
      <c r="M143" s="421">
        <v>2200</v>
      </c>
    </row>
    <row r="144" spans="1:16" x14ac:dyDescent="0.3">
      <c r="A144" s="420">
        <v>5</v>
      </c>
      <c r="C144" s="420">
        <f t="shared" si="10"/>
        <v>28</v>
      </c>
      <c r="D144" s="420">
        <f t="shared" si="11"/>
        <v>28</v>
      </c>
      <c r="E144" s="420">
        <f t="shared" si="12"/>
        <v>14</v>
      </c>
      <c r="F144" s="420" t="str">
        <f t="shared" si="13"/>
        <v>pm</v>
      </c>
      <c r="G144" s="420" t="s">
        <v>511</v>
      </c>
      <c r="H144" s="420" t="s">
        <v>224</v>
      </c>
      <c r="I144" s="420" t="s">
        <v>512</v>
      </c>
      <c r="K144" s="421">
        <f t="shared" si="14"/>
        <v>2157.0688207251719</v>
      </c>
      <c r="M144" s="421">
        <v>2160</v>
      </c>
      <c r="P144" s="420">
        <v>2157.0688207251719</v>
      </c>
    </row>
    <row r="145" spans="1:16" x14ac:dyDescent="0.3">
      <c r="A145" s="420">
        <v>7</v>
      </c>
      <c r="C145" s="420">
        <f t="shared" si="10"/>
        <v>29</v>
      </c>
      <c r="D145" s="420">
        <f t="shared" si="11"/>
        <v>29</v>
      </c>
      <c r="E145" s="420">
        <f t="shared" si="12"/>
        <v>14</v>
      </c>
      <c r="F145" s="420" t="str">
        <f t="shared" si="13"/>
        <v>pm</v>
      </c>
      <c r="G145" s="420" t="s">
        <v>513</v>
      </c>
      <c r="H145" s="420" t="s">
        <v>224</v>
      </c>
      <c r="I145" s="420" t="s">
        <v>514</v>
      </c>
      <c r="K145" s="421">
        <f t="shared" si="14"/>
        <v>2119.2988049542182</v>
      </c>
      <c r="M145" s="421">
        <v>2142.8571428571427</v>
      </c>
      <c r="O145" s="420">
        <v>2124.8136406435256</v>
      </c>
      <c r="P145" s="420">
        <v>2119.2988049542182</v>
      </c>
    </row>
    <row r="146" spans="1:16" x14ac:dyDescent="0.3">
      <c r="A146" s="420">
        <v>6</v>
      </c>
      <c r="C146" s="420">
        <f t="shared" si="10"/>
        <v>30</v>
      </c>
      <c r="D146" s="420">
        <f t="shared" si="11"/>
        <v>30</v>
      </c>
      <c r="E146" s="420">
        <f t="shared" si="12"/>
        <v>14</v>
      </c>
      <c r="F146" s="420" t="str">
        <f t="shared" si="13"/>
        <v>pm</v>
      </c>
      <c r="G146" s="420" t="s">
        <v>515</v>
      </c>
      <c r="H146" s="420" t="s">
        <v>261</v>
      </c>
      <c r="I146" s="420" t="s">
        <v>516</v>
      </c>
      <c r="K146" s="421">
        <f t="shared" si="14"/>
        <v>2028.2185977183215</v>
      </c>
      <c r="M146" s="421">
        <v>2133.3333333333335</v>
      </c>
      <c r="O146" s="420">
        <v>2123.8030060029546</v>
      </c>
      <c r="P146" s="420">
        <v>2028.2185977183215</v>
      </c>
    </row>
    <row r="147" spans="1:16" x14ac:dyDescent="0.3">
      <c r="A147" s="420">
        <v>3</v>
      </c>
      <c r="C147" s="420">
        <f t="shared" si="10"/>
        <v>31</v>
      </c>
      <c r="D147" s="420">
        <f t="shared" si="11"/>
        <v>31</v>
      </c>
      <c r="E147" s="420">
        <f t="shared" si="12"/>
        <v>14</v>
      </c>
      <c r="F147" s="420" t="str">
        <f t="shared" si="13"/>
        <v>pm</v>
      </c>
      <c r="G147" s="420" t="s">
        <v>517</v>
      </c>
      <c r="H147" s="420" t="s">
        <v>318</v>
      </c>
      <c r="I147" s="420" t="s">
        <v>518</v>
      </c>
      <c r="K147" s="421">
        <f t="shared" si="14"/>
        <v>2197.4041119202066</v>
      </c>
      <c r="M147" s="421">
        <v>2133.3333333333335</v>
      </c>
      <c r="N147" s="420">
        <v>2197.4041119202066</v>
      </c>
    </row>
    <row r="148" spans="1:16" x14ac:dyDescent="0.3">
      <c r="A148" s="420">
        <v>6</v>
      </c>
      <c r="C148" s="420">
        <f t="shared" si="10"/>
        <v>32</v>
      </c>
      <c r="D148" s="420">
        <f t="shared" si="11"/>
        <v>32</v>
      </c>
      <c r="E148" s="420">
        <f t="shared" si="12"/>
        <v>14</v>
      </c>
      <c r="F148" s="420" t="str">
        <f t="shared" si="13"/>
        <v>pm</v>
      </c>
      <c r="G148" s="420" t="s">
        <v>519</v>
      </c>
      <c r="H148" s="420" t="s">
        <v>224</v>
      </c>
      <c r="I148" s="420" t="s">
        <v>520</v>
      </c>
      <c r="K148" s="421">
        <f t="shared" si="14"/>
        <v>2086.4490895334916</v>
      </c>
      <c r="M148" s="421">
        <v>2133.3333333333335</v>
      </c>
      <c r="O148" s="420">
        <v>2086.4490895334916</v>
      </c>
    </row>
    <row r="149" spans="1:16" x14ac:dyDescent="0.3">
      <c r="A149" s="420">
        <v>4</v>
      </c>
      <c r="C149" s="420">
        <f t="shared" si="10"/>
        <v>33</v>
      </c>
      <c r="D149" s="420">
        <f t="shared" si="11"/>
        <v>33</v>
      </c>
      <c r="E149" s="420">
        <f t="shared" si="12"/>
        <v>14</v>
      </c>
      <c r="F149" s="420" t="str">
        <f t="shared" si="13"/>
        <v>pm</v>
      </c>
      <c r="G149" s="420" t="s">
        <v>521</v>
      </c>
      <c r="H149" s="420" t="s">
        <v>522</v>
      </c>
      <c r="I149" s="420" t="s">
        <v>523</v>
      </c>
      <c r="K149" s="421">
        <f t="shared" si="14"/>
        <v>2214.8101428000855</v>
      </c>
      <c r="M149" s="421">
        <v>2100</v>
      </c>
      <c r="N149" s="420">
        <v>2174.2197512125058</v>
      </c>
      <c r="P149" s="420">
        <v>2214.8101428000855</v>
      </c>
    </row>
    <row r="150" spans="1:16" x14ac:dyDescent="0.3">
      <c r="A150" s="420">
        <v>2</v>
      </c>
      <c r="C150" s="420">
        <f t="shared" si="10"/>
        <v>34</v>
      </c>
      <c r="D150" s="420">
        <f t="shared" si="11"/>
        <v>34</v>
      </c>
      <c r="E150" s="420">
        <f t="shared" si="12"/>
        <v>14</v>
      </c>
      <c r="F150" s="420" t="str">
        <f t="shared" si="13"/>
        <v>pm</v>
      </c>
      <c r="G150" s="420" t="s">
        <v>524</v>
      </c>
      <c r="H150" s="420" t="s">
        <v>215</v>
      </c>
      <c r="I150" s="420" t="s">
        <v>525</v>
      </c>
      <c r="K150" s="421">
        <f t="shared" si="14"/>
        <v>2049.1781545895406</v>
      </c>
      <c r="M150" s="421">
        <v>2000</v>
      </c>
      <c r="P150" s="420">
        <v>2049.1781545895406</v>
      </c>
    </row>
    <row r="151" spans="1:16" x14ac:dyDescent="0.3">
      <c r="A151" s="420">
        <v>2</v>
      </c>
      <c r="C151" s="420">
        <f t="shared" si="10"/>
        <v>35</v>
      </c>
      <c r="D151" s="420">
        <f t="shared" si="11"/>
        <v>35</v>
      </c>
      <c r="E151" s="420">
        <f t="shared" si="12"/>
        <v>14</v>
      </c>
      <c r="F151" s="420" t="str">
        <f t="shared" si="13"/>
        <v>pm</v>
      </c>
      <c r="G151" s="420" t="s">
        <v>526</v>
      </c>
      <c r="H151" s="420" t="s">
        <v>527</v>
      </c>
      <c r="I151" s="420" t="s">
        <v>528</v>
      </c>
      <c r="K151" s="421">
        <f t="shared" si="14"/>
        <v>1847.1241959091305</v>
      </c>
      <c r="M151" s="421">
        <v>2000</v>
      </c>
      <c r="P151" s="420">
        <v>1847.1241959091305</v>
      </c>
    </row>
    <row r="152" spans="1:16" x14ac:dyDescent="0.3">
      <c r="A152" s="420">
        <v>2</v>
      </c>
      <c r="C152" s="420">
        <f t="shared" si="10"/>
        <v>36</v>
      </c>
      <c r="D152" s="420">
        <f t="shared" si="11"/>
        <v>36</v>
      </c>
      <c r="E152" s="420">
        <f t="shared" si="12"/>
        <v>14</v>
      </c>
      <c r="F152" s="420" t="str">
        <f t="shared" si="13"/>
        <v>pm</v>
      </c>
      <c r="G152" s="420" t="s">
        <v>529</v>
      </c>
      <c r="H152" s="420" t="s">
        <v>227</v>
      </c>
      <c r="I152" s="420" t="s">
        <v>530</v>
      </c>
      <c r="K152" s="421">
        <f t="shared" si="14"/>
        <v>2000</v>
      </c>
      <c r="M152" s="421">
        <v>2000</v>
      </c>
    </row>
    <row r="153" spans="1:16" x14ac:dyDescent="0.3">
      <c r="A153" s="420">
        <v>2</v>
      </c>
      <c r="C153" s="420">
        <f t="shared" si="10"/>
        <v>37</v>
      </c>
      <c r="D153" s="420">
        <f t="shared" si="11"/>
        <v>37</v>
      </c>
      <c r="E153" s="420">
        <f t="shared" si="12"/>
        <v>14</v>
      </c>
      <c r="F153" s="420" t="str">
        <f t="shared" si="13"/>
        <v>cr</v>
      </c>
      <c r="G153" s="420" t="s">
        <v>531</v>
      </c>
      <c r="H153" s="420" t="s">
        <v>203</v>
      </c>
      <c r="I153" s="420" t="s">
        <v>532</v>
      </c>
      <c r="K153" s="421">
        <f t="shared" si="14"/>
        <v>2166.0105488436016</v>
      </c>
      <c r="M153" s="421">
        <v>2000</v>
      </c>
      <c r="O153" s="420">
        <v>2166.0105488436016</v>
      </c>
    </row>
    <row r="154" spans="1:16" x14ac:dyDescent="0.3">
      <c r="A154" s="420">
        <v>4</v>
      </c>
      <c r="C154" s="420">
        <f t="shared" si="10"/>
        <v>38</v>
      </c>
      <c r="D154" s="420">
        <f t="shared" si="11"/>
        <v>38</v>
      </c>
      <c r="E154" s="420">
        <f t="shared" si="12"/>
        <v>14</v>
      </c>
      <c r="F154" s="420" t="str">
        <f t="shared" si="13"/>
        <v>pm</v>
      </c>
      <c r="G154" s="420" t="s">
        <v>533</v>
      </c>
      <c r="H154" s="420" t="s">
        <v>534</v>
      </c>
      <c r="I154" s="420" t="s">
        <v>535</v>
      </c>
      <c r="K154" s="421">
        <f t="shared" si="14"/>
        <v>1885.7182609507843</v>
      </c>
      <c r="M154" s="421">
        <v>1900</v>
      </c>
      <c r="P154" s="420">
        <v>1885.7182609507843</v>
      </c>
    </row>
    <row r="155" spans="1:16" x14ac:dyDescent="0.3">
      <c r="A155" s="420">
        <v>2</v>
      </c>
      <c r="C155" s="420">
        <f t="shared" si="10"/>
        <v>39</v>
      </c>
      <c r="D155" s="420">
        <f t="shared" si="11"/>
        <v>39</v>
      </c>
      <c r="E155" s="420">
        <f t="shared" si="12"/>
        <v>14</v>
      </c>
      <c r="F155" s="420" t="str">
        <f t="shared" si="13"/>
        <v>so</v>
      </c>
      <c r="G155" s="420" t="s">
        <v>536</v>
      </c>
      <c r="H155" s="420" t="s">
        <v>384</v>
      </c>
      <c r="I155" s="420" t="s">
        <v>537</v>
      </c>
      <c r="K155" s="421">
        <f t="shared" si="14"/>
        <v>1971.8826744034932</v>
      </c>
      <c r="M155" s="421">
        <v>1900</v>
      </c>
      <c r="P155" s="420">
        <v>1971.8826744034932</v>
      </c>
    </row>
    <row r="156" spans="1:16" x14ac:dyDescent="0.3">
      <c r="A156" s="420">
        <v>5</v>
      </c>
      <c r="C156" s="420">
        <f t="shared" si="10"/>
        <v>40</v>
      </c>
      <c r="D156" s="420">
        <f t="shared" si="11"/>
        <v>40</v>
      </c>
      <c r="E156" s="420">
        <f t="shared" si="12"/>
        <v>14</v>
      </c>
      <c r="F156" s="420" t="str">
        <f t="shared" si="13"/>
        <v>pm</v>
      </c>
      <c r="G156" s="420" t="s">
        <v>538</v>
      </c>
      <c r="H156" s="420" t="s">
        <v>539</v>
      </c>
      <c r="I156" s="420" t="s">
        <v>540</v>
      </c>
      <c r="K156" s="421">
        <f t="shared" si="14"/>
        <v>1866.0217818946253</v>
      </c>
      <c r="M156" s="421">
        <v>1880</v>
      </c>
      <c r="P156" s="420">
        <v>1866.0217818946253</v>
      </c>
    </row>
    <row r="157" spans="1:16" x14ac:dyDescent="0.3">
      <c r="A157" s="420">
        <v>5</v>
      </c>
      <c r="C157" s="420">
        <f t="shared" si="10"/>
        <v>41</v>
      </c>
      <c r="D157" s="420">
        <f t="shared" si="11"/>
        <v>41</v>
      </c>
      <c r="E157" s="420">
        <f t="shared" si="12"/>
        <v>14</v>
      </c>
      <c r="F157" s="420" t="str">
        <f t="shared" si="13"/>
        <v>pm</v>
      </c>
      <c r="G157" s="420" t="s">
        <v>541</v>
      </c>
      <c r="H157" s="420" t="s">
        <v>305</v>
      </c>
      <c r="I157" s="420" t="s">
        <v>542</v>
      </c>
      <c r="K157" s="421">
        <f t="shared" si="14"/>
        <v>1847.1083510157146</v>
      </c>
      <c r="M157" s="421">
        <v>1880</v>
      </c>
      <c r="N157" s="420">
        <v>1847.1083510157146</v>
      </c>
    </row>
    <row r="158" spans="1:16" x14ac:dyDescent="0.3">
      <c r="A158" s="420">
        <v>3</v>
      </c>
      <c r="C158" s="420">
        <f t="shared" si="10"/>
        <v>42</v>
      </c>
      <c r="D158" s="420">
        <f t="shared" si="11"/>
        <v>42</v>
      </c>
      <c r="E158" s="420">
        <f t="shared" si="12"/>
        <v>14</v>
      </c>
      <c r="F158" s="420" t="str">
        <f t="shared" si="13"/>
        <v>pm</v>
      </c>
      <c r="G158" s="420" t="s">
        <v>543</v>
      </c>
      <c r="H158" s="420" t="s">
        <v>331</v>
      </c>
      <c r="I158" s="420" t="s">
        <v>544</v>
      </c>
      <c r="K158" s="421">
        <f t="shared" si="14"/>
        <v>1925.4284841677352</v>
      </c>
      <c r="M158" s="421">
        <v>1866.6666666666667</v>
      </c>
      <c r="P158" s="420">
        <v>1925.4284841677352</v>
      </c>
    </row>
    <row r="159" spans="1:16" x14ac:dyDescent="0.3">
      <c r="A159" s="420">
        <v>7</v>
      </c>
      <c r="C159" s="420">
        <f t="shared" si="10"/>
        <v>43</v>
      </c>
      <c r="D159" s="420">
        <f t="shared" si="11"/>
        <v>43</v>
      </c>
      <c r="E159" s="420">
        <f t="shared" si="12"/>
        <v>14</v>
      </c>
      <c r="F159" s="420" t="str">
        <f t="shared" si="13"/>
        <v>pm</v>
      </c>
      <c r="G159" s="420" t="s">
        <v>545</v>
      </c>
      <c r="H159" s="420" t="s">
        <v>288</v>
      </c>
      <c r="I159" s="420" t="s">
        <v>546</v>
      </c>
      <c r="K159" s="421">
        <f t="shared" si="14"/>
        <v>1762.9452068718263</v>
      </c>
      <c r="M159" s="421">
        <v>1857.1428571428571</v>
      </c>
      <c r="P159" s="420">
        <v>1762.9452068718263</v>
      </c>
    </row>
    <row r="160" spans="1:16" x14ac:dyDescent="0.3">
      <c r="A160" s="420">
        <v>5</v>
      </c>
      <c r="C160" s="420">
        <f t="shared" si="10"/>
        <v>44</v>
      </c>
      <c r="D160" s="420">
        <f t="shared" si="11"/>
        <v>44</v>
      </c>
      <c r="E160" s="420">
        <f t="shared" si="12"/>
        <v>14</v>
      </c>
      <c r="F160" s="420" t="str">
        <f t="shared" si="13"/>
        <v>pm</v>
      </c>
      <c r="G160" s="420" t="s">
        <v>547</v>
      </c>
      <c r="H160" s="420" t="s">
        <v>437</v>
      </c>
      <c r="I160" s="420" t="s">
        <v>548</v>
      </c>
      <c r="K160" s="421">
        <f t="shared" si="14"/>
        <v>1847.3357292555668</v>
      </c>
      <c r="M160" s="421">
        <v>1840</v>
      </c>
      <c r="P160" s="420">
        <v>1847.3357292555668</v>
      </c>
    </row>
    <row r="161" spans="1:16" x14ac:dyDescent="0.3">
      <c r="A161" s="420">
        <v>1</v>
      </c>
      <c r="C161" s="420">
        <f t="shared" si="10"/>
        <v>45</v>
      </c>
      <c r="D161" s="420">
        <f t="shared" si="11"/>
        <v>45</v>
      </c>
      <c r="E161" s="420">
        <f t="shared" si="12"/>
        <v>14</v>
      </c>
      <c r="F161" s="420" t="str">
        <f t="shared" si="13"/>
        <v>pmx</v>
      </c>
      <c r="G161" s="420" t="s">
        <v>549</v>
      </c>
      <c r="H161" s="420" t="s">
        <v>237</v>
      </c>
      <c r="I161" s="420" t="s">
        <v>550</v>
      </c>
      <c r="K161" s="421">
        <f t="shared" si="14"/>
        <v>1800</v>
      </c>
      <c r="M161" s="421">
        <v>1800</v>
      </c>
    </row>
    <row r="162" spans="1:16" x14ac:dyDescent="0.3">
      <c r="A162" s="420">
        <v>2</v>
      </c>
      <c r="C162" s="420">
        <f t="shared" si="10"/>
        <v>46</v>
      </c>
      <c r="D162" s="420">
        <f t="shared" si="11"/>
        <v>45</v>
      </c>
      <c r="E162" s="420">
        <f t="shared" si="12"/>
        <v>14</v>
      </c>
      <c r="F162" s="420" t="str">
        <f t="shared" si="13"/>
        <v>pm</v>
      </c>
      <c r="G162" s="420" t="s">
        <v>551</v>
      </c>
      <c r="H162" s="420" t="s">
        <v>240</v>
      </c>
      <c r="I162" s="420" t="s">
        <v>552</v>
      </c>
      <c r="K162" s="421">
        <f t="shared" si="14"/>
        <v>1800</v>
      </c>
      <c r="M162" s="421">
        <v>1800</v>
      </c>
    </row>
    <row r="163" spans="1:16" x14ac:dyDescent="0.3">
      <c r="A163" s="420">
        <v>6</v>
      </c>
      <c r="C163" s="420">
        <f t="shared" si="10"/>
        <v>47</v>
      </c>
      <c r="D163" s="420">
        <f t="shared" si="11"/>
        <v>47</v>
      </c>
      <c r="E163" s="420">
        <f t="shared" si="12"/>
        <v>14</v>
      </c>
      <c r="F163" s="420" t="str">
        <f t="shared" si="13"/>
        <v>pm</v>
      </c>
      <c r="G163" s="420" t="s">
        <v>553</v>
      </c>
      <c r="H163" s="420" t="s">
        <v>554</v>
      </c>
      <c r="I163" s="420" t="s">
        <v>555</v>
      </c>
      <c r="K163" s="421">
        <f t="shared" si="14"/>
        <v>1815.1521821289225</v>
      </c>
      <c r="M163" s="421">
        <v>1800</v>
      </c>
      <c r="N163" s="420">
        <v>1718.6611112438743</v>
      </c>
      <c r="P163" s="420">
        <v>1815.1521821289225</v>
      </c>
    </row>
    <row r="164" spans="1:16" x14ac:dyDescent="0.3">
      <c r="A164" s="420">
        <v>3</v>
      </c>
      <c r="C164" s="420">
        <f t="shared" si="10"/>
        <v>48</v>
      </c>
      <c r="D164" s="420">
        <f t="shared" si="11"/>
        <v>48</v>
      </c>
      <c r="E164" s="420">
        <f t="shared" si="12"/>
        <v>14</v>
      </c>
      <c r="F164" s="420" t="str">
        <f t="shared" si="13"/>
        <v>pm</v>
      </c>
      <c r="G164" s="420" t="s">
        <v>556</v>
      </c>
      <c r="H164" s="420" t="s">
        <v>243</v>
      </c>
      <c r="I164" s="420" t="s">
        <v>557</v>
      </c>
      <c r="K164" s="421">
        <f t="shared" si="14"/>
        <v>1833.0084799585911</v>
      </c>
      <c r="M164" s="421">
        <v>1800</v>
      </c>
      <c r="N164" s="420">
        <v>1778.3842920745774</v>
      </c>
      <c r="P164" s="420">
        <v>1833.0084799585911</v>
      </c>
    </row>
    <row r="165" spans="1:16" x14ac:dyDescent="0.3">
      <c r="A165" s="420">
        <v>3</v>
      </c>
      <c r="C165" s="420">
        <f t="shared" si="10"/>
        <v>49</v>
      </c>
      <c r="D165" s="420">
        <f t="shared" si="11"/>
        <v>49</v>
      </c>
      <c r="E165" s="420">
        <f t="shared" si="12"/>
        <v>14</v>
      </c>
      <c r="F165" s="420" t="str">
        <f t="shared" si="13"/>
        <v>pm</v>
      </c>
      <c r="G165" s="420" t="s">
        <v>558</v>
      </c>
      <c r="H165" s="420" t="s">
        <v>243</v>
      </c>
      <c r="I165" s="420" t="s">
        <v>559</v>
      </c>
      <c r="K165" s="421">
        <f t="shared" si="14"/>
        <v>1903.1265717512813</v>
      </c>
      <c r="M165" s="421">
        <v>1800</v>
      </c>
      <c r="N165" s="420">
        <v>1824.4592382938808</v>
      </c>
      <c r="P165" s="420">
        <v>1903.1265717512813</v>
      </c>
    </row>
    <row r="166" spans="1:16" x14ac:dyDescent="0.3">
      <c r="A166" s="420">
        <v>3</v>
      </c>
      <c r="C166" s="420">
        <f t="shared" si="10"/>
        <v>50</v>
      </c>
      <c r="D166" s="420">
        <f t="shared" si="11"/>
        <v>50</v>
      </c>
      <c r="E166" s="420">
        <f t="shared" si="12"/>
        <v>14</v>
      </c>
      <c r="F166" s="420" t="str">
        <f t="shared" si="13"/>
        <v>pm</v>
      </c>
      <c r="G166" s="420" t="s">
        <v>560</v>
      </c>
      <c r="H166" s="420" t="s">
        <v>243</v>
      </c>
      <c r="I166" s="420" t="s">
        <v>561</v>
      </c>
      <c r="K166" s="421">
        <f t="shared" si="14"/>
        <v>1753.2138579630362</v>
      </c>
      <c r="M166" s="421">
        <v>1800</v>
      </c>
      <c r="P166" s="420">
        <v>1753.2138579630362</v>
      </c>
    </row>
    <row r="167" spans="1:16" x14ac:dyDescent="0.3">
      <c r="A167" s="420">
        <v>3</v>
      </c>
      <c r="C167" s="420">
        <f t="shared" si="10"/>
        <v>51</v>
      </c>
      <c r="D167" s="420">
        <f t="shared" si="11"/>
        <v>51</v>
      </c>
      <c r="E167" s="420">
        <f t="shared" si="12"/>
        <v>14</v>
      </c>
      <c r="F167" s="420" t="str">
        <f t="shared" si="13"/>
        <v>pm</v>
      </c>
      <c r="G167" s="420" t="s">
        <v>562</v>
      </c>
      <c r="H167" s="420" t="s">
        <v>250</v>
      </c>
      <c r="I167" s="420" t="s">
        <v>563</v>
      </c>
      <c r="K167" s="421">
        <f t="shared" si="14"/>
        <v>1800</v>
      </c>
      <c r="M167" s="421">
        <v>1800</v>
      </c>
    </row>
    <row r="168" spans="1:16" x14ac:dyDescent="0.3">
      <c r="A168" s="420">
        <v>5</v>
      </c>
      <c r="C168" s="420">
        <f t="shared" si="10"/>
        <v>52</v>
      </c>
      <c r="D168" s="420">
        <f t="shared" si="11"/>
        <v>52</v>
      </c>
      <c r="E168" s="420">
        <f t="shared" si="12"/>
        <v>14</v>
      </c>
      <c r="F168" s="420" t="str">
        <f t="shared" si="13"/>
        <v>pm</v>
      </c>
      <c r="G168" s="420" t="s">
        <v>564</v>
      </c>
      <c r="H168" s="420" t="s">
        <v>256</v>
      </c>
      <c r="I168" s="420" t="s">
        <v>565</v>
      </c>
      <c r="K168" s="421">
        <f t="shared" si="14"/>
        <v>1891.9144582347276</v>
      </c>
      <c r="M168" s="421">
        <v>1800</v>
      </c>
      <c r="N168" s="420">
        <v>1889.3788535790063</v>
      </c>
      <c r="P168" s="420">
        <v>1891.9144582347276</v>
      </c>
    </row>
    <row r="169" spans="1:16" x14ac:dyDescent="0.3">
      <c r="A169" s="420">
        <v>4</v>
      </c>
      <c r="C169" s="420">
        <f t="shared" si="10"/>
        <v>53</v>
      </c>
      <c r="D169" s="420">
        <f t="shared" si="11"/>
        <v>53</v>
      </c>
      <c r="E169" s="420">
        <f t="shared" si="12"/>
        <v>14</v>
      </c>
      <c r="F169" s="420" t="str">
        <f t="shared" si="13"/>
        <v>pm</v>
      </c>
      <c r="G169" s="420" t="s">
        <v>566</v>
      </c>
      <c r="H169" s="420" t="s">
        <v>256</v>
      </c>
      <c r="I169" s="420" t="s">
        <v>567</v>
      </c>
      <c r="K169" s="421">
        <f t="shared" si="14"/>
        <v>1823.7998106301316</v>
      </c>
      <c r="M169" s="421">
        <v>1800</v>
      </c>
      <c r="P169" s="420">
        <v>1823.7998106301316</v>
      </c>
    </row>
    <row r="170" spans="1:16" x14ac:dyDescent="0.3">
      <c r="A170" s="420">
        <v>7</v>
      </c>
      <c r="C170" s="420">
        <f t="shared" si="10"/>
        <v>54</v>
      </c>
      <c r="D170" s="420">
        <f t="shared" si="11"/>
        <v>54</v>
      </c>
      <c r="E170" s="420">
        <f t="shared" si="12"/>
        <v>14</v>
      </c>
      <c r="F170" s="420" t="str">
        <f t="shared" si="13"/>
        <v>pm</v>
      </c>
      <c r="G170" s="420" t="s">
        <v>568</v>
      </c>
      <c r="H170" s="420" t="s">
        <v>261</v>
      </c>
      <c r="I170" s="420" t="s">
        <v>569</v>
      </c>
      <c r="K170" s="421">
        <f t="shared" si="14"/>
        <v>1752.8007396123487</v>
      </c>
      <c r="M170" s="421">
        <v>1800</v>
      </c>
      <c r="N170" s="420">
        <v>1721.4653216549868</v>
      </c>
      <c r="P170" s="420">
        <v>1752.8007396123487</v>
      </c>
    </row>
    <row r="171" spans="1:16" x14ac:dyDescent="0.3">
      <c r="A171" s="420">
        <v>7</v>
      </c>
      <c r="C171" s="420">
        <f t="shared" si="10"/>
        <v>55</v>
      </c>
      <c r="D171" s="420">
        <f t="shared" si="11"/>
        <v>55</v>
      </c>
      <c r="E171" s="420">
        <f t="shared" si="12"/>
        <v>14</v>
      </c>
      <c r="F171" s="420" t="str">
        <f t="shared" si="13"/>
        <v>pm</v>
      </c>
      <c r="G171" s="420" t="s">
        <v>570</v>
      </c>
      <c r="H171" s="420" t="s">
        <v>261</v>
      </c>
      <c r="I171" s="420" t="s">
        <v>571</v>
      </c>
      <c r="K171" s="421">
        <f t="shared" si="14"/>
        <v>1741.8980944244274</v>
      </c>
      <c r="M171" s="421">
        <v>1800</v>
      </c>
      <c r="N171" s="420">
        <v>1748.298089197034</v>
      </c>
      <c r="P171" s="420">
        <v>1741.8980944244274</v>
      </c>
    </row>
    <row r="172" spans="1:16" x14ac:dyDescent="0.3">
      <c r="A172" s="420">
        <v>4</v>
      </c>
      <c r="C172" s="420">
        <f t="shared" si="10"/>
        <v>56</v>
      </c>
      <c r="D172" s="420">
        <f t="shared" si="11"/>
        <v>56</v>
      </c>
      <c r="E172" s="420">
        <f t="shared" si="12"/>
        <v>14</v>
      </c>
      <c r="F172" s="420" t="str">
        <f t="shared" si="13"/>
        <v>pm</v>
      </c>
      <c r="G172" s="420" t="s">
        <v>572</v>
      </c>
      <c r="H172" s="420" t="s">
        <v>261</v>
      </c>
      <c r="I172" s="420" t="s">
        <v>573</v>
      </c>
      <c r="K172" s="421">
        <f t="shared" si="14"/>
        <v>1678.3981971538039</v>
      </c>
      <c r="M172" s="421">
        <v>1800</v>
      </c>
      <c r="P172" s="420">
        <v>1678.3981971538039</v>
      </c>
    </row>
    <row r="173" spans="1:16" x14ac:dyDescent="0.3">
      <c r="A173" s="420">
        <v>6</v>
      </c>
      <c r="C173" s="420">
        <f t="shared" si="10"/>
        <v>57</v>
      </c>
      <c r="D173" s="420">
        <f t="shared" si="11"/>
        <v>57</v>
      </c>
      <c r="E173" s="420">
        <f t="shared" si="12"/>
        <v>14</v>
      </c>
      <c r="F173" s="420" t="str">
        <f t="shared" si="13"/>
        <v>pm</v>
      </c>
      <c r="G173" s="420" t="s">
        <v>574</v>
      </c>
      <c r="H173" s="420" t="s">
        <v>264</v>
      </c>
      <c r="I173" s="420" t="s">
        <v>575</v>
      </c>
      <c r="K173" s="421">
        <f t="shared" si="14"/>
        <v>1761.038353768434</v>
      </c>
      <c r="M173" s="421">
        <v>1800</v>
      </c>
      <c r="P173" s="420">
        <v>1761.038353768434</v>
      </c>
    </row>
    <row r="174" spans="1:16" x14ac:dyDescent="0.3">
      <c r="A174" s="420">
        <v>4</v>
      </c>
      <c r="C174" s="420">
        <f t="shared" si="10"/>
        <v>58</v>
      </c>
      <c r="D174" s="420">
        <f t="shared" si="11"/>
        <v>58</v>
      </c>
      <c r="E174" s="420">
        <f t="shared" si="12"/>
        <v>14</v>
      </c>
      <c r="F174" s="420" t="str">
        <f t="shared" si="13"/>
        <v>pm</v>
      </c>
      <c r="G174" s="420" t="s">
        <v>576</v>
      </c>
      <c r="H174" s="420" t="s">
        <v>318</v>
      </c>
      <c r="I174" s="420" t="s">
        <v>577</v>
      </c>
      <c r="K174" s="421">
        <f t="shared" si="14"/>
        <v>1784.1499381650262</v>
      </c>
      <c r="M174" s="421">
        <v>1800</v>
      </c>
      <c r="N174" s="420">
        <v>1730.7050678538524</v>
      </c>
      <c r="P174" s="420">
        <v>1784.1499381650262</v>
      </c>
    </row>
    <row r="175" spans="1:16" x14ac:dyDescent="0.3">
      <c r="A175" s="420">
        <v>4</v>
      </c>
      <c r="C175" s="420">
        <f t="shared" si="10"/>
        <v>59</v>
      </c>
      <c r="D175" s="420">
        <f t="shared" si="11"/>
        <v>59</v>
      </c>
      <c r="E175" s="420">
        <f t="shared" si="12"/>
        <v>14</v>
      </c>
      <c r="F175" s="420" t="str">
        <f t="shared" si="13"/>
        <v>pm</v>
      </c>
      <c r="G175" s="420" t="s">
        <v>578</v>
      </c>
      <c r="H175" s="420" t="s">
        <v>267</v>
      </c>
      <c r="I175" s="420" t="s">
        <v>579</v>
      </c>
      <c r="K175" s="421">
        <f t="shared" si="14"/>
        <v>1811.7997841538452</v>
      </c>
      <c r="M175" s="421">
        <v>1800</v>
      </c>
      <c r="N175" s="420">
        <v>1811.7997841538452</v>
      </c>
    </row>
    <row r="176" spans="1:16" x14ac:dyDescent="0.3">
      <c r="A176" s="420">
        <v>7</v>
      </c>
      <c r="C176" s="420">
        <f t="shared" si="10"/>
        <v>60</v>
      </c>
      <c r="D176" s="420">
        <f t="shared" si="11"/>
        <v>60</v>
      </c>
      <c r="E176" s="420">
        <f t="shared" si="12"/>
        <v>14</v>
      </c>
      <c r="F176" s="420" t="str">
        <f t="shared" si="13"/>
        <v>pm</v>
      </c>
      <c r="G176" s="420" t="s">
        <v>580</v>
      </c>
      <c r="H176" s="420" t="s">
        <v>416</v>
      </c>
      <c r="I176" s="420" t="s">
        <v>581</v>
      </c>
      <c r="K176" s="421">
        <f t="shared" si="14"/>
        <v>1602.9288959944686</v>
      </c>
      <c r="M176" s="421">
        <v>1800</v>
      </c>
      <c r="N176" s="420">
        <v>1682.2582324305545</v>
      </c>
      <c r="P176" s="420">
        <v>1602.9288959944686</v>
      </c>
    </row>
    <row r="177" spans="1:16" x14ac:dyDescent="0.3">
      <c r="A177" s="420">
        <v>6</v>
      </c>
      <c r="C177" s="420">
        <f t="shared" si="10"/>
        <v>61</v>
      </c>
      <c r="D177" s="420">
        <f t="shared" si="11"/>
        <v>61</v>
      </c>
      <c r="E177" s="420">
        <f t="shared" si="12"/>
        <v>14</v>
      </c>
      <c r="F177" s="420" t="str">
        <f t="shared" si="13"/>
        <v>pm</v>
      </c>
      <c r="G177" s="420" t="s">
        <v>582</v>
      </c>
      <c r="H177" s="420" t="s">
        <v>224</v>
      </c>
      <c r="I177" s="420" t="s">
        <v>583</v>
      </c>
      <c r="K177" s="421">
        <f t="shared" si="14"/>
        <v>1751.778292751929</v>
      </c>
      <c r="M177" s="421">
        <v>1800</v>
      </c>
      <c r="P177" s="420">
        <v>1751.778292751929</v>
      </c>
    </row>
    <row r="178" spans="1:16" x14ac:dyDescent="0.3">
      <c r="A178" s="420">
        <v>6</v>
      </c>
      <c r="C178" s="420">
        <f t="shared" si="10"/>
        <v>62</v>
      </c>
      <c r="D178" s="420">
        <f t="shared" si="11"/>
        <v>62</v>
      </c>
      <c r="E178" s="420">
        <f t="shared" si="12"/>
        <v>14</v>
      </c>
      <c r="F178" s="420" t="str">
        <f t="shared" si="13"/>
        <v>pm</v>
      </c>
      <c r="G178" s="420" t="s">
        <v>584</v>
      </c>
      <c r="H178" s="420" t="s">
        <v>224</v>
      </c>
      <c r="I178" s="420" t="s">
        <v>585</v>
      </c>
      <c r="K178" s="421">
        <f t="shared" si="14"/>
        <v>1768.1399790988805</v>
      </c>
      <c r="M178" s="421">
        <v>1800</v>
      </c>
      <c r="P178" s="420">
        <v>1768.1399790988805</v>
      </c>
    </row>
    <row r="179" spans="1:16" x14ac:dyDescent="0.3">
      <c r="A179" s="420">
        <v>6</v>
      </c>
      <c r="C179" s="420">
        <f t="shared" si="10"/>
        <v>63</v>
      </c>
      <c r="D179" s="420">
        <f t="shared" si="11"/>
        <v>63</v>
      </c>
      <c r="E179" s="420">
        <f t="shared" si="12"/>
        <v>14</v>
      </c>
      <c r="F179" s="420" t="str">
        <f t="shared" si="13"/>
        <v>pm</v>
      </c>
      <c r="G179" s="420" t="s">
        <v>586</v>
      </c>
      <c r="H179" s="420" t="s">
        <v>224</v>
      </c>
      <c r="I179" s="420" t="s">
        <v>587</v>
      </c>
      <c r="K179" s="421">
        <f t="shared" si="14"/>
        <v>1745.9218651374065</v>
      </c>
      <c r="M179" s="421">
        <v>1800</v>
      </c>
      <c r="P179" s="420">
        <v>1745.9218651374065</v>
      </c>
    </row>
    <row r="180" spans="1:16" x14ac:dyDescent="0.3">
      <c r="A180" s="420">
        <v>4</v>
      </c>
      <c r="C180" s="420">
        <f t="shared" si="10"/>
        <v>64</v>
      </c>
      <c r="D180" s="420">
        <f t="shared" si="11"/>
        <v>64</v>
      </c>
      <c r="E180" s="420">
        <f t="shared" si="12"/>
        <v>14</v>
      </c>
      <c r="F180" s="420" t="str">
        <f t="shared" si="13"/>
        <v>pm</v>
      </c>
      <c r="G180" s="420" t="s">
        <v>588</v>
      </c>
      <c r="H180" s="420" t="s">
        <v>273</v>
      </c>
      <c r="I180" s="420" t="s">
        <v>589</v>
      </c>
      <c r="K180" s="421">
        <f t="shared" si="14"/>
        <v>1800</v>
      </c>
      <c r="M180" s="421">
        <v>1800</v>
      </c>
    </row>
    <row r="181" spans="1:16" x14ac:dyDescent="0.3">
      <c r="A181" s="420">
        <v>7</v>
      </c>
      <c r="C181" s="420">
        <f t="shared" si="10"/>
        <v>65</v>
      </c>
      <c r="D181" s="420">
        <f t="shared" si="11"/>
        <v>65</v>
      </c>
      <c r="E181" s="420">
        <f t="shared" si="12"/>
        <v>14</v>
      </c>
      <c r="F181" s="420" t="str">
        <f t="shared" si="13"/>
        <v>pm</v>
      </c>
      <c r="G181" s="420" t="s">
        <v>590</v>
      </c>
      <c r="H181" s="420" t="s">
        <v>278</v>
      </c>
      <c r="I181" s="420" t="s">
        <v>591</v>
      </c>
      <c r="K181" s="421">
        <f t="shared" si="14"/>
        <v>1887.3848284110888</v>
      </c>
      <c r="M181" s="421">
        <v>1800</v>
      </c>
      <c r="N181" s="420">
        <v>1821.545773518581</v>
      </c>
      <c r="P181" s="420">
        <v>1887.3848284110888</v>
      </c>
    </row>
    <row r="182" spans="1:16" x14ac:dyDescent="0.3">
      <c r="A182" s="420">
        <v>5</v>
      </c>
      <c r="C182" s="420">
        <f t="shared" si="10"/>
        <v>66</v>
      </c>
      <c r="D182" s="420">
        <f t="shared" si="11"/>
        <v>66</v>
      </c>
      <c r="E182" s="420">
        <f t="shared" si="12"/>
        <v>14</v>
      </c>
      <c r="F182" s="420" t="str">
        <f t="shared" si="13"/>
        <v>pm</v>
      </c>
      <c r="G182" s="420" t="s">
        <v>592</v>
      </c>
      <c r="H182" s="420" t="s">
        <v>349</v>
      </c>
      <c r="I182" s="420" t="s">
        <v>593</v>
      </c>
      <c r="K182" s="421">
        <f t="shared" si="14"/>
        <v>1728.6570245875689</v>
      </c>
      <c r="M182" s="421">
        <v>1800</v>
      </c>
      <c r="N182" s="420">
        <v>1732.6432403106687</v>
      </c>
      <c r="P182" s="420">
        <v>1728.6570245875689</v>
      </c>
    </row>
    <row r="183" spans="1:16" x14ac:dyDescent="0.3">
      <c r="A183" s="420">
        <v>2</v>
      </c>
      <c r="C183" s="420">
        <f t="shared" si="10"/>
        <v>67</v>
      </c>
      <c r="D183" s="420">
        <f t="shared" si="11"/>
        <v>67</v>
      </c>
      <c r="E183" s="420">
        <f t="shared" si="12"/>
        <v>14</v>
      </c>
      <c r="F183" s="420" t="str">
        <f t="shared" si="13"/>
        <v>pm</v>
      </c>
      <c r="G183" s="420" t="s">
        <v>594</v>
      </c>
      <c r="H183" s="420" t="s">
        <v>200</v>
      </c>
      <c r="I183" s="420" t="s">
        <v>595</v>
      </c>
      <c r="K183" s="421">
        <f t="shared" si="14"/>
        <v>1766.0279354837069</v>
      </c>
      <c r="M183" s="421">
        <v>1800</v>
      </c>
      <c r="P183" s="420">
        <v>1766.0279354837069</v>
      </c>
    </row>
    <row r="184" spans="1:16" x14ac:dyDescent="0.3">
      <c r="A184" s="420">
        <v>2</v>
      </c>
      <c r="C184" s="420">
        <f t="shared" si="10"/>
        <v>68</v>
      </c>
      <c r="D184" s="420">
        <f t="shared" si="11"/>
        <v>68</v>
      </c>
      <c r="E184" s="420">
        <f t="shared" si="12"/>
        <v>14</v>
      </c>
      <c r="F184" s="420" t="str">
        <f t="shared" si="13"/>
        <v>pm</v>
      </c>
      <c r="G184" s="420" t="s">
        <v>596</v>
      </c>
      <c r="H184" s="420" t="s">
        <v>200</v>
      </c>
      <c r="I184" s="420" t="s">
        <v>597</v>
      </c>
      <c r="K184" s="421">
        <f t="shared" si="14"/>
        <v>1810.2573586424166</v>
      </c>
      <c r="M184" s="421">
        <v>1800</v>
      </c>
      <c r="P184" s="420">
        <v>1810.2573586424166</v>
      </c>
    </row>
    <row r="185" spans="1:16" x14ac:dyDescent="0.3">
      <c r="A185" s="420">
        <v>6</v>
      </c>
      <c r="C185" s="420">
        <f t="shared" si="10"/>
        <v>69</v>
      </c>
      <c r="D185" s="420">
        <f t="shared" si="11"/>
        <v>69</v>
      </c>
      <c r="E185" s="420">
        <f t="shared" si="12"/>
        <v>14</v>
      </c>
      <c r="F185" s="420" t="str">
        <f t="shared" si="13"/>
        <v>pm</v>
      </c>
      <c r="G185" s="420" t="s">
        <v>598</v>
      </c>
      <c r="H185" s="420" t="s">
        <v>334</v>
      </c>
      <c r="I185" s="420" t="s">
        <v>599</v>
      </c>
      <c r="K185" s="421">
        <f t="shared" si="14"/>
        <v>1962.7409125642057</v>
      </c>
      <c r="M185" s="421">
        <v>1800</v>
      </c>
      <c r="N185" s="420">
        <v>1880.956617928209</v>
      </c>
      <c r="P185" s="420">
        <v>1962.7409125642057</v>
      </c>
    </row>
    <row r="186" spans="1:16" x14ac:dyDescent="0.3">
      <c r="A186" s="420">
        <v>4</v>
      </c>
      <c r="C186" s="420">
        <f t="shared" si="10"/>
        <v>70</v>
      </c>
      <c r="D186" s="420">
        <f t="shared" si="11"/>
        <v>70</v>
      </c>
      <c r="E186" s="420">
        <f t="shared" si="12"/>
        <v>14</v>
      </c>
      <c r="F186" s="420" t="str">
        <f t="shared" si="13"/>
        <v>pm</v>
      </c>
      <c r="G186" s="420" t="s">
        <v>600</v>
      </c>
      <c r="H186" s="420" t="s">
        <v>334</v>
      </c>
      <c r="I186" s="420" t="s">
        <v>601</v>
      </c>
      <c r="K186" s="421">
        <f t="shared" si="14"/>
        <v>1830.0459906244043</v>
      </c>
      <c r="M186" s="421">
        <v>1800</v>
      </c>
      <c r="P186" s="420">
        <v>1830.0459906244043</v>
      </c>
    </row>
    <row r="187" spans="1:16" x14ac:dyDescent="0.3">
      <c r="A187" s="420">
        <v>1</v>
      </c>
      <c r="C187" s="420">
        <f t="shared" si="10"/>
        <v>71</v>
      </c>
      <c r="D187" s="420">
        <f t="shared" si="11"/>
        <v>71</v>
      </c>
      <c r="E187" s="420">
        <f t="shared" si="12"/>
        <v>14</v>
      </c>
      <c r="F187" s="420" t="str">
        <f t="shared" si="13"/>
        <v>pmx</v>
      </c>
      <c r="G187" s="420" t="s">
        <v>602</v>
      </c>
      <c r="H187" s="420" t="s">
        <v>227</v>
      </c>
      <c r="I187" s="420" t="s">
        <v>603</v>
      </c>
      <c r="K187" s="421">
        <f t="shared" si="14"/>
        <v>1800</v>
      </c>
      <c r="M187" s="421">
        <v>1800</v>
      </c>
    </row>
    <row r="188" spans="1:16" x14ac:dyDescent="0.3">
      <c r="A188" s="420">
        <v>1</v>
      </c>
      <c r="C188" s="420">
        <f t="shared" si="10"/>
        <v>72</v>
      </c>
      <c r="D188" s="420">
        <f t="shared" si="11"/>
        <v>72</v>
      </c>
      <c r="E188" s="420">
        <f t="shared" si="12"/>
        <v>14</v>
      </c>
      <c r="F188" s="420" t="str">
        <f t="shared" si="13"/>
        <v>crx</v>
      </c>
      <c r="G188" s="420" t="s">
        <v>604</v>
      </c>
      <c r="H188" s="420" t="s">
        <v>605</v>
      </c>
      <c r="I188" s="420" t="s">
        <v>606</v>
      </c>
      <c r="K188" s="421">
        <f t="shared" si="14"/>
        <v>1886.3108315496688</v>
      </c>
      <c r="M188" s="421">
        <v>1800</v>
      </c>
      <c r="N188" s="420">
        <v>1886.3108315496688</v>
      </c>
    </row>
    <row r="189" spans="1:16" x14ac:dyDescent="0.3">
      <c r="A189" s="420">
        <v>3</v>
      </c>
      <c r="C189" s="420">
        <f t="shared" si="10"/>
        <v>73</v>
      </c>
      <c r="D189" s="420">
        <f t="shared" si="11"/>
        <v>73</v>
      </c>
      <c r="E189" s="420">
        <f t="shared" si="12"/>
        <v>14</v>
      </c>
      <c r="F189" s="420" t="str">
        <f t="shared" si="13"/>
        <v>cr</v>
      </c>
      <c r="G189" s="420" t="s">
        <v>607</v>
      </c>
      <c r="H189" s="420" t="s">
        <v>203</v>
      </c>
      <c r="I189" s="420" t="s">
        <v>608</v>
      </c>
      <c r="K189" s="421">
        <f t="shared" si="14"/>
        <v>1830.8290630777483</v>
      </c>
      <c r="M189" s="421">
        <v>1800</v>
      </c>
      <c r="P189" s="420">
        <v>1830.8290630777483</v>
      </c>
    </row>
    <row r="190" spans="1:16" x14ac:dyDescent="0.3">
      <c r="A190" s="420">
        <v>3</v>
      </c>
      <c r="C190" s="420">
        <f t="shared" si="10"/>
        <v>74</v>
      </c>
      <c r="D190" s="420">
        <f t="shared" si="11"/>
        <v>74</v>
      </c>
      <c r="E190" s="420">
        <f t="shared" si="12"/>
        <v>14</v>
      </c>
      <c r="F190" s="420" t="str">
        <f t="shared" si="13"/>
        <v>cr</v>
      </c>
      <c r="G190" s="420" t="s">
        <v>609</v>
      </c>
      <c r="H190" s="420" t="s">
        <v>203</v>
      </c>
      <c r="I190" s="420" t="s">
        <v>610</v>
      </c>
      <c r="K190" s="421">
        <f t="shared" si="14"/>
        <v>1771.2603191576552</v>
      </c>
      <c r="M190" s="421">
        <v>1800</v>
      </c>
      <c r="P190" s="420">
        <v>1771.2603191576552</v>
      </c>
    </row>
    <row r="191" spans="1:16" x14ac:dyDescent="0.3">
      <c r="A191" s="420">
        <v>2</v>
      </c>
      <c r="C191" s="420">
        <f t="shared" si="10"/>
        <v>75</v>
      </c>
      <c r="D191" s="420">
        <f t="shared" si="11"/>
        <v>75</v>
      </c>
      <c r="E191" s="420">
        <f t="shared" si="12"/>
        <v>14</v>
      </c>
      <c r="F191" s="420" t="str">
        <f t="shared" si="13"/>
        <v>cr</v>
      </c>
      <c r="G191" s="420" t="s">
        <v>611</v>
      </c>
      <c r="H191" s="420" t="s">
        <v>612</v>
      </c>
      <c r="I191" s="420" t="s">
        <v>613</v>
      </c>
      <c r="K191" s="421">
        <f t="shared" si="14"/>
        <v>1800</v>
      </c>
      <c r="M191" s="421">
        <v>1800</v>
      </c>
    </row>
    <row r="192" spans="1:16" x14ac:dyDescent="0.3">
      <c r="A192" s="420">
        <v>1</v>
      </c>
      <c r="C192" s="420">
        <f t="shared" si="10"/>
        <v>76</v>
      </c>
      <c r="D192" s="420">
        <f t="shared" si="11"/>
        <v>76</v>
      </c>
      <c r="E192" s="420">
        <f t="shared" si="12"/>
        <v>14</v>
      </c>
      <c r="F192" s="420" t="str">
        <f t="shared" si="13"/>
        <v>crx</v>
      </c>
      <c r="G192" s="420" t="s">
        <v>614</v>
      </c>
      <c r="H192" s="420" t="s">
        <v>302</v>
      </c>
      <c r="I192" s="420" t="s">
        <v>615</v>
      </c>
      <c r="K192" s="421">
        <f t="shared" si="14"/>
        <v>1860.5893791805602</v>
      </c>
      <c r="M192" s="421">
        <v>1800</v>
      </c>
      <c r="P192" s="420">
        <v>1860.5893791805602</v>
      </c>
    </row>
    <row r="193" spans="1:16" x14ac:dyDescent="0.3">
      <c r="A193" s="420">
        <v>1</v>
      </c>
      <c r="C193" s="420">
        <f t="shared" si="10"/>
        <v>77</v>
      </c>
      <c r="D193" s="420">
        <f t="shared" si="11"/>
        <v>77</v>
      </c>
      <c r="E193" s="420">
        <f t="shared" si="12"/>
        <v>14</v>
      </c>
      <c r="F193" s="420" t="str">
        <f t="shared" si="13"/>
        <v>crx</v>
      </c>
      <c r="G193" s="420" t="s">
        <v>616</v>
      </c>
      <c r="H193" s="420" t="s">
        <v>302</v>
      </c>
      <c r="I193" s="420" t="s">
        <v>617</v>
      </c>
      <c r="K193" s="421">
        <f t="shared" si="14"/>
        <v>1713.778127804924</v>
      </c>
      <c r="M193" s="421">
        <v>1800</v>
      </c>
      <c r="P193" s="420">
        <v>1713.778127804924</v>
      </c>
    </row>
    <row r="194" spans="1:16" x14ac:dyDescent="0.3">
      <c r="A194" s="420">
        <v>3</v>
      </c>
      <c r="C194" s="420">
        <f t="shared" ref="C194:C257" si="15">IF(E194=E193,C193+1,1)</f>
        <v>78</v>
      </c>
      <c r="D194" s="420">
        <f t="shared" ref="D194:D257" si="16">IF(K194=K193,D193,C194)</f>
        <v>78</v>
      </c>
      <c r="E194" s="420">
        <f t="shared" ref="E194:E257" si="17">10+VALUE(RIGHT(LEFT(G194,3),1))</f>
        <v>14</v>
      </c>
      <c r="F194" s="420" t="str">
        <f t="shared" ref="F194:F257" si="18">RIGHT(G194,2) &amp; IF(A194&lt;2,"x","")</f>
        <v>cr</v>
      </c>
      <c r="G194" s="420" t="s">
        <v>618</v>
      </c>
      <c r="H194" s="420" t="s">
        <v>619</v>
      </c>
      <c r="I194" s="420" t="s">
        <v>620</v>
      </c>
      <c r="K194" s="421">
        <f t="shared" ref="K194:K257" si="19">LOOKUP(1E+100,M194:AB194)</f>
        <v>1914.3121448868815</v>
      </c>
      <c r="M194" s="421">
        <v>1800</v>
      </c>
      <c r="P194" s="420">
        <v>1914.3121448868815</v>
      </c>
    </row>
    <row r="195" spans="1:16" x14ac:dyDescent="0.3">
      <c r="A195" s="420">
        <v>3</v>
      </c>
      <c r="C195" s="420">
        <f t="shared" si="15"/>
        <v>79</v>
      </c>
      <c r="D195" s="420">
        <f t="shared" si="16"/>
        <v>79</v>
      </c>
      <c r="E195" s="420">
        <f t="shared" si="17"/>
        <v>14</v>
      </c>
      <c r="F195" s="420" t="str">
        <f t="shared" si="18"/>
        <v>cr</v>
      </c>
      <c r="G195" s="420" t="s">
        <v>621</v>
      </c>
      <c r="H195" s="420" t="s">
        <v>448</v>
      </c>
      <c r="I195" s="420" t="s">
        <v>622</v>
      </c>
      <c r="K195" s="421">
        <f t="shared" si="19"/>
        <v>1800</v>
      </c>
      <c r="M195" s="421">
        <v>1800</v>
      </c>
    </row>
    <row r="196" spans="1:16" x14ac:dyDescent="0.3">
      <c r="A196" s="420">
        <v>2</v>
      </c>
      <c r="C196" s="420">
        <f t="shared" si="15"/>
        <v>80</v>
      </c>
      <c r="D196" s="420">
        <f t="shared" si="16"/>
        <v>79</v>
      </c>
      <c r="E196" s="420">
        <f t="shared" si="17"/>
        <v>14</v>
      </c>
      <c r="F196" s="420" t="str">
        <f t="shared" si="18"/>
        <v>cr</v>
      </c>
      <c r="G196" s="420" t="s">
        <v>623</v>
      </c>
      <c r="H196" s="420" t="s">
        <v>624</v>
      </c>
      <c r="I196" s="420" t="s">
        <v>625</v>
      </c>
      <c r="K196" s="421">
        <f t="shared" si="19"/>
        <v>1800</v>
      </c>
      <c r="M196" s="421">
        <v>1800</v>
      </c>
    </row>
    <row r="197" spans="1:16" x14ac:dyDescent="0.3">
      <c r="A197" s="420">
        <v>2</v>
      </c>
      <c r="C197" s="420">
        <f t="shared" si="15"/>
        <v>81</v>
      </c>
      <c r="D197" s="420">
        <f t="shared" si="16"/>
        <v>79</v>
      </c>
      <c r="E197" s="420">
        <f t="shared" si="17"/>
        <v>14</v>
      </c>
      <c r="F197" s="420" t="str">
        <f t="shared" si="18"/>
        <v>cr</v>
      </c>
      <c r="G197" s="420" t="s">
        <v>626</v>
      </c>
      <c r="H197" s="420" t="s">
        <v>624</v>
      </c>
      <c r="I197" s="420" t="s">
        <v>627</v>
      </c>
      <c r="K197" s="421">
        <f t="shared" si="19"/>
        <v>1800</v>
      </c>
      <c r="M197" s="421">
        <v>1800</v>
      </c>
    </row>
    <row r="198" spans="1:16" x14ac:dyDescent="0.3">
      <c r="A198" s="420">
        <v>1</v>
      </c>
      <c r="C198" s="420">
        <f t="shared" si="15"/>
        <v>82</v>
      </c>
      <c r="D198" s="420">
        <f t="shared" si="16"/>
        <v>79</v>
      </c>
      <c r="E198" s="420">
        <f t="shared" si="17"/>
        <v>14</v>
      </c>
      <c r="F198" s="420" t="str">
        <f t="shared" si="18"/>
        <v>crx</v>
      </c>
      <c r="G198" s="420" t="s">
        <v>628</v>
      </c>
      <c r="H198" s="420" t="s">
        <v>629</v>
      </c>
      <c r="I198" s="420" t="s">
        <v>630</v>
      </c>
      <c r="K198" s="421">
        <f t="shared" si="19"/>
        <v>1800</v>
      </c>
      <c r="M198" s="421">
        <v>1800</v>
      </c>
    </row>
    <row r="199" spans="1:16" x14ac:dyDescent="0.3">
      <c r="A199" s="420">
        <v>1</v>
      </c>
      <c r="C199" s="420">
        <f t="shared" si="15"/>
        <v>83</v>
      </c>
      <c r="D199" s="420">
        <f t="shared" si="16"/>
        <v>79</v>
      </c>
      <c r="E199" s="420">
        <f t="shared" si="17"/>
        <v>14</v>
      </c>
      <c r="F199" s="420" t="str">
        <f t="shared" si="18"/>
        <v>sox</v>
      </c>
      <c r="G199" s="420" t="s">
        <v>631</v>
      </c>
      <c r="H199" s="420" t="s">
        <v>375</v>
      </c>
      <c r="I199" s="420" t="s">
        <v>632</v>
      </c>
      <c r="K199" s="421">
        <f t="shared" si="19"/>
        <v>1800</v>
      </c>
      <c r="M199" s="421">
        <v>1800</v>
      </c>
    </row>
    <row r="200" spans="1:16" x14ac:dyDescent="0.3">
      <c r="A200" s="420">
        <v>1</v>
      </c>
      <c r="C200" s="420">
        <f t="shared" si="15"/>
        <v>84</v>
      </c>
      <c r="D200" s="420">
        <f t="shared" si="16"/>
        <v>79</v>
      </c>
      <c r="E200" s="420">
        <f t="shared" si="17"/>
        <v>14</v>
      </c>
      <c r="F200" s="420" t="str">
        <f t="shared" si="18"/>
        <v>sox</v>
      </c>
      <c r="G200" s="420" t="s">
        <v>633</v>
      </c>
      <c r="H200" s="420" t="s">
        <v>375</v>
      </c>
      <c r="I200" s="420" t="s">
        <v>634</v>
      </c>
      <c r="K200" s="421">
        <f t="shared" si="19"/>
        <v>1800</v>
      </c>
      <c r="M200" s="421">
        <v>1800</v>
      </c>
    </row>
    <row r="201" spans="1:16" x14ac:dyDescent="0.3">
      <c r="A201" s="420">
        <v>1</v>
      </c>
      <c r="C201" s="420">
        <f t="shared" si="15"/>
        <v>85</v>
      </c>
      <c r="D201" s="420">
        <f t="shared" si="16"/>
        <v>79</v>
      </c>
      <c r="E201" s="420">
        <f t="shared" si="17"/>
        <v>14</v>
      </c>
      <c r="F201" s="420" t="str">
        <f t="shared" si="18"/>
        <v>sox</v>
      </c>
      <c r="G201" s="420" t="s">
        <v>635</v>
      </c>
      <c r="H201" s="420" t="s">
        <v>636</v>
      </c>
      <c r="I201" s="420" t="s">
        <v>637</v>
      </c>
      <c r="K201" s="421">
        <f t="shared" si="19"/>
        <v>1800</v>
      </c>
      <c r="M201" s="421">
        <v>1800</v>
      </c>
    </row>
    <row r="202" spans="1:16" x14ac:dyDescent="0.3">
      <c r="A202" s="420">
        <v>2</v>
      </c>
      <c r="C202" s="420">
        <f t="shared" si="15"/>
        <v>1</v>
      </c>
      <c r="D202" s="420">
        <f t="shared" si="16"/>
        <v>1</v>
      </c>
      <c r="E202" s="420">
        <f t="shared" si="17"/>
        <v>15</v>
      </c>
      <c r="F202" s="420" t="str">
        <f t="shared" si="18"/>
        <v>pm</v>
      </c>
      <c r="G202" s="420" t="s">
        <v>638</v>
      </c>
      <c r="H202" s="420" t="s">
        <v>243</v>
      </c>
      <c r="I202" s="420" t="s">
        <v>639</v>
      </c>
      <c r="K202" s="421">
        <f t="shared" si="19"/>
        <v>2400</v>
      </c>
      <c r="M202" s="421">
        <v>2400</v>
      </c>
    </row>
    <row r="203" spans="1:16" x14ac:dyDescent="0.3">
      <c r="A203" s="420">
        <v>4</v>
      </c>
      <c r="C203" s="420">
        <f t="shared" si="15"/>
        <v>2</v>
      </c>
      <c r="D203" s="420">
        <f t="shared" si="16"/>
        <v>2</v>
      </c>
      <c r="E203" s="420">
        <f t="shared" si="17"/>
        <v>15</v>
      </c>
      <c r="F203" s="420" t="str">
        <f t="shared" si="18"/>
        <v>pm</v>
      </c>
      <c r="G203" s="420" t="s">
        <v>640</v>
      </c>
      <c r="H203" s="420" t="s">
        <v>243</v>
      </c>
      <c r="I203" s="420" t="s">
        <v>641</v>
      </c>
      <c r="K203" s="421">
        <f t="shared" si="19"/>
        <v>2441.2340844359674</v>
      </c>
      <c r="M203" s="421">
        <v>2400</v>
      </c>
      <c r="P203" s="420">
        <v>2441.2340844359674</v>
      </c>
    </row>
    <row r="204" spans="1:16" x14ac:dyDescent="0.3">
      <c r="A204" s="420">
        <v>4</v>
      </c>
      <c r="C204" s="420">
        <f t="shared" si="15"/>
        <v>3</v>
      </c>
      <c r="D204" s="420">
        <f t="shared" si="16"/>
        <v>3</v>
      </c>
      <c r="E204" s="420">
        <f t="shared" si="17"/>
        <v>15</v>
      </c>
      <c r="F204" s="420" t="str">
        <f t="shared" si="18"/>
        <v>pm</v>
      </c>
      <c r="G204" s="420" t="s">
        <v>642</v>
      </c>
      <c r="H204" s="420" t="s">
        <v>243</v>
      </c>
      <c r="I204" s="420" t="s">
        <v>643</v>
      </c>
      <c r="K204" s="421">
        <f t="shared" si="19"/>
        <v>2336.1202937617072</v>
      </c>
      <c r="M204" s="421">
        <v>2400</v>
      </c>
      <c r="P204" s="420">
        <v>2336.1202937617072</v>
      </c>
    </row>
    <row r="205" spans="1:16" x14ac:dyDescent="0.3">
      <c r="A205" s="420">
        <v>3</v>
      </c>
      <c r="C205" s="420">
        <f t="shared" si="15"/>
        <v>4</v>
      </c>
      <c r="D205" s="420">
        <f t="shared" si="16"/>
        <v>4</v>
      </c>
      <c r="E205" s="420">
        <f t="shared" si="17"/>
        <v>15</v>
      </c>
      <c r="F205" s="420" t="str">
        <f t="shared" si="18"/>
        <v>pm</v>
      </c>
      <c r="G205" s="420" t="s">
        <v>644</v>
      </c>
      <c r="H205" s="420" t="s">
        <v>256</v>
      </c>
      <c r="I205" s="420" t="s">
        <v>645</v>
      </c>
      <c r="K205" s="421">
        <f t="shared" si="19"/>
        <v>2381.8589517504856</v>
      </c>
      <c r="M205" s="421">
        <v>2400</v>
      </c>
      <c r="O205" s="420">
        <v>2467.3184086886131</v>
      </c>
      <c r="P205" s="420">
        <v>2381.8589517504856</v>
      </c>
    </row>
    <row r="206" spans="1:16" x14ac:dyDescent="0.3">
      <c r="A206" s="420">
        <v>2</v>
      </c>
      <c r="C206" s="420">
        <f t="shared" si="15"/>
        <v>5</v>
      </c>
      <c r="D206" s="420">
        <f t="shared" si="16"/>
        <v>5</v>
      </c>
      <c r="E206" s="420">
        <f t="shared" si="17"/>
        <v>15</v>
      </c>
      <c r="F206" s="420" t="str">
        <f t="shared" si="18"/>
        <v>pm</v>
      </c>
      <c r="G206" s="420" t="s">
        <v>646</v>
      </c>
      <c r="H206" s="420" t="s">
        <v>256</v>
      </c>
      <c r="I206" s="420" t="s">
        <v>647</v>
      </c>
      <c r="K206" s="421">
        <f t="shared" si="19"/>
        <v>2417.874790352118</v>
      </c>
      <c r="M206" s="421">
        <v>2400</v>
      </c>
      <c r="P206" s="420">
        <v>2417.874790352118</v>
      </c>
    </row>
    <row r="207" spans="1:16" x14ac:dyDescent="0.3">
      <c r="A207" s="420">
        <v>5</v>
      </c>
      <c r="C207" s="420">
        <f t="shared" si="15"/>
        <v>6</v>
      </c>
      <c r="D207" s="420">
        <f t="shared" si="16"/>
        <v>6</v>
      </c>
      <c r="E207" s="420">
        <f t="shared" si="17"/>
        <v>15</v>
      </c>
      <c r="F207" s="420" t="str">
        <f t="shared" si="18"/>
        <v>pm</v>
      </c>
      <c r="G207" s="420" t="s">
        <v>648</v>
      </c>
      <c r="H207" s="420" t="s">
        <v>261</v>
      </c>
      <c r="I207" s="420" t="s">
        <v>649</v>
      </c>
      <c r="K207" s="421">
        <f t="shared" si="19"/>
        <v>2471.4438748412722</v>
      </c>
      <c r="M207" s="421">
        <v>2400</v>
      </c>
      <c r="P207" s="420">
        <v>2471.4438748412722</v>
      </c>
    </row>
    <row r="208" spans="1:16" x14ac:dyDescent="0.3">
      <c r="A208" s="420">
        <v>6</v>
      </c>
      <c r="C208" s="420">
        <f t="shared" si="15"/>
        <v>7</v>
      </c>
      <c r="D208" s="420">
        <f t="shared" si="16"/>
        <v>7</v>
      </c>
      <c r="E208" s="420">
        <f t="shared" si="17"/>
        <v>15</v>
      </c>
      <c r="F208" s="420" t="str">
        <f t="shared" si="18"/>
        <v>pm</v>
      </c>
      <c r="G208" s="420" t="s">
        <v>650</v>
      </c>
      <c r="H208" s="420" t="s">
        <v>261</v>
      </c>
      <c r="I208" s="420" t="s">
        <v>651</v>
      </c>
      <c r="K208" s="421">
        <f t="shared" si="19"/>
        <v>2351.0458116269024</v>
      </c>
      <c r="M208" s="421">
        <v>2400</v>
      </c>
      <c r="O208" s="420">
        <v>2441.8185825032424</v>
      </c>
      <c r="P208" s="420">
        <v>2351.0458116269024</v>
      </c>
    </row>
    <row r="209" spans="1:16" x14ac:dyDescent="0.3">
      <c r="A209" s="420">
        <v>3</v>
      </c>
      <c r="C209" s="420">
        <f t="shared" si="15"/>
        <v>8</v>
      </c>
      <c r="D209" s="420">
        <f t="shared" si="16"/>
        <v>8</v>
      </c>
      <c r="E209" s="420">
        <f t="shared" si="17"/>
        <v>15</v>
      </c>
      <c r="F209" s="420" t="str">
        <f t="shared" si="18"/>
        <v>pm</v>
      </c>
      <c r="G209" s="420" t="s">
        <v>652</v>
      </c>
      <c r="H209" s="420" t="s">
        <v>224</v>
      </c>
      <c r="I209" s="420" t="s">
        <v>653</v>
      </c>
      <c r="K209" s="421">
        <f t="shared" si="19"/>
        <v>2400</v>
      </c>
      <c r="M209" s="421">
        <v>2400</v>
      </c>
    </row>
    <row r="210" spans="1:16" x14ac:dyDescent="0.3">
      <c r="A210" s="420">
        <v>3</v>
      </c>
      <c r="C210" s="420">
        <f t="shared" si="15"/>
        <v>9</v>
      </c>
      <c r="D210" s="420">
        <f t="shared" si="16"/>
        <v>8</v>
      </c>
      <c r="E210" s="420">
        <f t="shared" si="17"/>
        <v>15</v>
      </c>
      <c r="F210" s="420" t="str">
        <f t="shared" si="18"/>
        <v>pm</v>
      </c>
      <c r="G210" s="420" t="s">
        <v>654</v>
      </c>
      <c r="H210" s="420" t="s">
        <v>224</v>
      </c>
      <c r="I210" s="420" t="s">
        <v>655</v>
      </c>
      <c r="K210" s="421">
        <f t="shared" si="19"/>
        <v>2400</v>
      </c>
      <c r="M210" s="421">
        <v>2400</v>
      </c>
    </row>
    <row r="211" spans="1:16" x14ac:dyDescent="0.3">
      <c r="A211" s="420">
        <v>4</v>
      </c>
      <c r="C211" s="420">
        <f t="shared" si="15"/>
        <v>10</v>
      </c>
      <c r="D211" s="420">
        <f t="shared" si="16"/>
        <v>10</v>
      </c>
      <c r="E211" s="420">
        <f t="shared" si="17"/>
        <v>15</v>
      </c>
      <c r="F211" s="420" t="str">
        <f t="shared" si="18"/>
        <v>pm</v>
      </c>
      <c r="G211" s="420" t="s">
        <v>656</v>
      </c>
      <c r="H211" s="420" t="s">
        <v>224</v>
      </c>
      <c r="I211" s="420" t="s">
        <v>657</v>
      </c>
      <c r="K211" s="421">
        <f t="shared" si="19"/>
        <v>2393.1790713515361</v>
      </c>
      <c r="M211" s="421">
        <v>2400</v>
      </c>
      <c r="O211" s="420">
        <v>2393.1790713515361</v>
      </c>
    </row>
    <row r="212" spans="1:16" x14ac:dyDescent="0.3">
      <c r="A212" s="420">
        <v>3</v>
      </c>
      <c r="C212" s="420">
        <f t="shared" si="15"/>
        <v>11</v>
      </c>
      <c r="D212" s="420">
        <f t="shared" si="16"/>
        <v>11</v>
      </c>
      <c r="E212" s="420">
        <f t="shared" si="17"/>
        <v>15</v>
      </c>
      <c r="F212" s="420" t="str">
        <f t="shared" si="18"/>
        <v>pm</v>
      </c>
      <c r="G212" s="420" t="s">
        <v>658</v>
      </c>
      <c r="H212" s="420" t="s">
        <v>224</v>
      </c>
      <c r="I212" s="420" t="s">
        <v>659</v>
      </c>
      <c r="K212" s="421">
        <f t="shared" si="19"/>
        <v>2296.1318958952461</v>
      </c>
      <c r="M212" s="421">
        <v>2400</v>
      </c>
      <c r="P212" s="420">
        <v>2296.1318958952461</v>
      </c>
    </row>
    <row r="213" spans="1:16" x14ac:dyDescent="0.3">
      <c r="A213" s="420">
        <v>5</v>
      </c>
      <c r="C213" s="420">
        <f t="shared" si="15"/>
        <v>12</v>
      </c>
      <c r="D213" s="420">
        <f t="shared" si="16"/>
        <v>12</v>
      </c>
      <c r="E213" s="420">
        <f t="shared" si="17"/>
        <v>15</v>
      </c>
      <c r="F213" s="420" t="str">
        <f t="shared" si="18"/>
        <v>pm</v>
      </c>
      <c r="G213" s="420" t="s">
        <v>660</v>
      </c>
      <c r="H213" s="420" t="s">
        <v>224</v>
      </c>
      <c r="I213" s="420" t="s">
        <v>661</v>
      </c>
      <c r="K213" s="421">
        <f t="shared" si="19"/>
        <v>2298.8859045016379</v>
      </c>
      <c r="M213" s="421">
        <v>2400</v>
      </c>
      <c r="O213" s="420">
        <v>2298.8859045016379</v>
      </c>
    </row>
    <row r="214" spans="1:16" x14ac:dyDescent="0.3">
      <c r="A214" s="420">
        <v>3</v>
      </c>
      <c r="C214" s="420">
        <f t="shared" si="15"/>
        <v>13</v>
      </c>
      <c r="D214" s="420">
        <f t="shared" si="16"/>
        <v>13</v>
      </c>
      <c r="E214" s="420">
        <f t="shared" si="17"/>
        <v>15</v>
      </c>
      <c r="F214" s="420" t="str">
        <f t="shared" si="18"/>
        <v>pm</v>
      </c>
      <c r="G214" s="420" t="s">
        <v>662</v>
      </c>
      <c r="H214" s="420" t="s">
        <v>663</v>
      </c>
      <c r="I214" s="420" t="s">
        <v>664</v>
      </c>
      <c r="K214" s="421">
        <f t="shared" si="19"/>
        <v>2333.6714401541003</v>
      </c>
      <c r="M214" s="421">
        <v>2400</v>
      </c>
      <c r="P214" s="420">
        <v>2333.6714401541003</v>
      </c>
    </row>
    <row r="215" spans="1:16" x14ac:dyDescent="0.3">
      <c r="A215" s="420">
        <v>7</v>
      </c>
      <c r="C215" s="420">
        <f t="shared" si="15"/>
        <v>14</v>
      </c>
      <c r="D215" s="420">
        <f t="shared" si="16"/>
        <v>14</v>
      </c>
      <c r="E215" s="420">
        <f t="shared" si="17"/>
        <v>15</v>
      </c>
      <c r="F215" s="420" t="str">
        <f t="shared" si="18"/>
        <v>pm</v>
      </c>
      <c r="G215" s="420" t="s">
        <v>665</v>
      </c>
      <c r="H215" s="420" t="s">
        <v>278</v>
      </c>
      <c r="I215" s="420" t="s">
        <v>666</v>
      </c>
      <c r="K215" s="421">
        <f t="shared" si="19"/>
        <v>2407.569219000482</v>
      </c>
      <c r="M215" s="421">
        <v>2400</v>
      </c>
      <c r="O215" s="420">
        <v>2440.2205530331553</v>
      </c>
      <c r="P215" s="420">
        <v>2407.569219000482</v>
      </c>
    </row>
    <row r="216" spans="1:16" x14ac:dyDescent="0.3">
      <c r="A216" s="420">
        <v>2</v>
      </c>
      <c r="C216" s="420">
        <f t="shared" si="15"/>
        <v>15</v>
      </c>
      <c r="D216" s="420">
        <f t="shared" si="16"/>
        <v>15</v>
      </c>
      <c r="E216" s="420">
        <f t="shared" si="17"/>
        <v>15</v>
      </c>
      <c r="F216" s="420" t="str">
        <f t="shared" si="18"/>
        <v>pm</v>
      </c>
      <c r="G216" s="420" t="s">
        <v>667</v>
      </c>
      <c r="H216" s="420" t="s">
        <v>349</v>
      </c>
      <c r="I216" s="420" t="s">
        <v>668</v>
      </c>
      <c r="K216" s="421">
        <f t="shared" si="19"/>
        <v>2490.4097268780183</v>
      </c>
      <c r="M216" s="421">
        <v>2400</v>
      </c>
      <c r="P216" s="420">
        <v>2490.4097268780183</v>
      </c>
    </row>
    <row r="217" spans="1:16" x14ac:dyDescent="0.3">
      <c r="A217" s="420">
        <v>2</v>
      </c>
      <c r="C217" s="420">
        <f t="shared" si="15"/>
        <v>16</v>
      </c>
      <c r="D217" s="420">
        <f t="shared" si="16"/>
        <v>16</v>
      </c>
      <c r="E217" s="420">
        <f t="shared" si="17"/>
        <v>15</v>
      </c>
      <c r="F217" s="420" t="str">
        <f t="shared" si="18"/>
        <v>pm</v>
      </c>
      <c r="G217" s="420" t="s">
        <v>669</v>
      </c>
      <c r="H217" s="420" t="s">
        <v>352</v>
      </c>
      <c r="I217" s="420" t="s">
        <v>670</v>
      </c>
      <c r="K217" s="421">
        <f t="shared" si="19"/>
        <v>2400</v>
      </c>
      <c r="M217" s="421">
        <v>2400</v>
      </c>
    </row>
    <row r="218" spans="1:16" x14ac:dyDescent="0.3">
      <c r="A218" s="420">
        <v>1</v>
      </c>
      <c r="C218" s="420">
        <f t="shared" si="15"/>
        <v>17</v>
      </c>
      <c r="D218" s="420">
        <f t="shared" si="16"/>
        <v>17</v>
      </c>
      <c r="E218" s="420">
        <f t="shared" si="17"/>
        <v>15</v>
      </c>
      <c r="F218" s="420" t="str">
        <f t="shared" si="18"/>
        <v>pmx</v>
      </c>
      <c r="G218" s="420" t="s">
        <v>671</v>
      </c>
      <c r="H218" s="420" t="s">
        <v>192</v>
      </c>
      <c r="I218" s="420" t="s">
        <v>672</v>
      </c>
      <c r="K218" s="421">
        <f t="shared" si="19"/>
        <v>2486.0438385750294</v>
      </c>
      <c r="M218" s="421">
        <v>2400</v>
      </c>
      <c r="P218" s="420">
        <v>2486.0438385750294</v>
      </c>
    </row>
    <row r="219" spans="1:16" x14ac:dyDescent="0.3">
      <c r="A219" s="420">
        <v>2</v>
      </c>
      <c r="C219" s="420">
        <f t="shared" si="15"/>
        <v>18</v>
      </c>
      <c r="D219" s="420">
        <f t="shared" si="16"/>
        <v>18</v>
      </c>
      <c r="E219" s="420">
        <f t="shared" si="17"/>
        <v>15</v>
      </c>
      <c r="F219" s="420" t="str">
        <f t="shared" si="18"/>
        <v>pm</v>
      </c>
      <c r="G219" s="420" t="s">
        <v>673</v>
      </c>
      <c r="H219" s="420" t="s">
        <v>215</v>
      </c>
      <c r="I219" s="420" t="s">
        <v>674</v>
      </c>
      <c r="K219" s="421">
        <f t="shared" si="19"/>
        <v>2468.9034180624526</v>
      </c>
      <c r="M219" s="421">
        <v>2400</v>
      </c>
      <c r="P219" s="420">
        <v>2468.9034180624526</v>
      </c>
    </row>
    <row r="220" spans="1:16" x14ac:dyDescent="0.3">
      <c r="A220" s="420">
        <v>3</v>
      </c>
      <c r="C220" s="420">
        <f t="shared" si="15"/>
        <v>19</v>
      </c>
      <c r="D220" s="420">
        <f t="shared" si="16"/>
        <v>19</v>
      </c>
      <c r="E220" s="420">
        <f t="shared" si="17"/>
        <v>15</v>
      </c>
      <c r="F220" s="420" t="str">
        <f t="shared" si="18"/>
        <v>pm</v>
      </c>
      <c r="G220" s="420" t="s">
        <v>675</v>
      </c>
      <c r="H220" s="420" t="s">
        <v>215</v>
      </c>
      <c r="I220" s="420" t="s">
        <v>676</v>
      </c>
      <c r="K220" s="421">
        <f t="shared" si="19"/>
        <v>2313.0079257034422</v>
      </c>
      <c r="M220" s="421">
        <v>2400</v>
      </c>
      <c r="P220" s="420">
        <v>2313.0079257034422</v>
      </c>
    </row>
    <row r="221" spans="1:16" x14ac:dyDescent="0.3">
      <c r="A221" s="420">
        <v>2</v>
      </c>
      <c r="C221" s="420">
        <f t="shared" si="15"/>
        <v>20</v>
      </c>
      <c r="D221" s="420">
        <f t="shared" si="16"/>
        <v>20</v>
      </c>
      <c r="E221" s="420">
        <f t="shared" si="17"/>
        <v>15</v>
      </c>
      <c r="F221" s="420" t="str">
        <f t="shared" si="18"/>
        <v>pm</v>
      </c>
      <c r="G221" s="420" t="s">
        <v>677</v>
      </c>
      <c r="H221" s="420" t="s">
        <v>283</v>
      </c>
      <c r="I221" s="420" t="s">
        <v>678</v>
      </c>
      <c r="K221" s="421">
        <f t="shared" si="19"/>
        <v>2400</v>
      </c>
      <c r="M221" s="421">
        <v>2400</v>
      </c>
    </row>
    <row r="222" spans="1:16" x14ac:dyDescent="0.3">
      <c r="A222" s="420">
        <v>2</v>
      </c>
      <c r="C222" s="420">
        <f t="shared" si="15"/>
        <v>21</v>
      </c>
      <c r="D222" s="420">
        <f t="shared" si="16"/>
        <v>20</v>
      </c>
      <c r="E222" s="420">
        <f t="shared" si="17"/>
        <v>15</v>
      </c>
      <c r="F222" s="420" t="str">
        <f t="shared" si="18"/>
        <v>pm</v>
      </c>
      <c r="G222" s="420" t="s">
        <v>679</v>
      </c>
      <c r="H222" s="420" t="s">
        <v>218</v>
      </c>
      <c r="I222" s="420" t="s">
        <v>680</v>
      </c>
      <c r="K222" s="421">
        <f t="shared" si="19"/>
        <v>2400</v>
      </c>
      <c r="M222" s="421">
        <v>2400</v>
      </c>
    </row>
    <row r="223" spans="1:16" x14ac:dyDescent="0.3">
      <c r="A223" s="420">
        <v>1</v>
      </c>
      <c r="C223" s="420">
        <f t="shared" si="15"/>
        <v>22</v>
      </c>
      <c r="D223" s="420">
        <f t="shared" si="16"/>
        <v>20</v>
      </c>
      <c r="E223" s="420">
        <f t="shared" si="17"/>
        <v>15</v>
      </c>
      <c r="F223" s="420" t="str">
        <f t="shared" si="18"/>
        <v>pmx</v>
      </c>
      <c r="G223" s="420" t="s">
        <v>681</v>
      </c>
      <c r="H223" s="420" t="s">
        <v>227</v>
      </c>
      <c r="I223" s="420" t="s">
        <v>682</v>
      </c>
      <c r="K223" s="421">
        <f t="shared" si="19"/>
        <v>2400</v>
      </c>
      <c r="M223" s="421">
        <v>2400</v>
      </c>
    </row>
    <row r="224" spans="1:16" x14ac:dyDescent="0.3">
      <c r="A224" s="420">
        <v>2</v>
      </c>
      <c r="C224" s="420">
        <f t="shared" si="15"/>
        <v>23</v>
      </c>
      <c r="D224" s="420">
        <f t="shared" si="16"/>
        <v>20</v>
      </c>
      <c r="E224" s="420">
        <f t="shared" si="17"/>
        <v>15</v>
      </c>
      <c r="F224" s="420" t="str">
        <f t="shared" si="18"/>
        <v>pm</v>
      </c>
      <c r="G224" s="420" t="s">
        <v>683</v>
      </c>
      <c r="H224" s="420" t="s">
        <v>227</v>
      </c>
      <c r="I224" s="420" t="s">
        <v>684</v>
      </c>
      <c r="K224" s="421">
        <f t="shared" si="19"/>
        <v>2400</v>
      </c>
      <c r="M224" s="421">
        <v>2400</v>
      </c>
    </row>
    <row r="225" spans="1:16" x14ac:dyDescent="0.3">
      <c r="A225" s="420">
        <v>2</v>
      </c>
      <c r="C225" s="420">
        <f t="shared" si="15"/>
        <v>24</v>
      </c>
      <c r="D225" s="420">
        <f t="shared" si="16"/>
        <v>20</v>
      </c>
      <c r="E225" s="420">
        <f t="shared" si="17"/>
        <v>15</v>
      </c>
      <c r="F225" s="420" t="str">
        <f t="shared" si="18"/>
        <v>pm</v>
      </c>
      <c r="G225" s="420" t="s">
        <v>685</v>
      </c>
      <c r="H225" s="420" t="s">
        <v>221</v>
      </c>
      <c r="I225" s="420" t="s">
        <v>686</v>
      </c>
      <c r="K225" s="421">
        <f t="shared" si="19"/>
        <v>2400</v>
      </c>
      <c r="M225" s="421">
        <v>2400</v>
      </c>
    </row>
    <row r="226" spans="1:16" x14ac:dyDescent="0.3">
      <c r="A226" s="420">
        <v>1</v>
      </c>
      <c r="C226" s="420">
        <f t="shared" si="15"/>
        <v>25</v>
      </c>
      <c r="D226" s="420">
        <f t="shared" si="16"/>
        <v>20</v>
      </c>
      <c r="E226" s="420">
        <f t="shared" si="17"/>
        <v>15</v>
      </c>
      <c r="F226" s="420" t="str">
        <f t="shared" si="18"/>
        <v>crx</v>
      </c>
      <c r="G226" s="420" t="s">
        <v>687</v>
      </c>
      <c r="H226" s="420" t="s">
        <v>372</v>
      </c>
      <c r="I226" s="420" t="s">
        <v>688</v>
      </c>
      <c r="K226" s="421">
        <f t="shared" si="19"/>
        <v>2400</v>
      </c>
      <c r="M226" s="421">
        <v>2400</v>
      </c>
    </row>
    <row r="227" spans="1:16" x14ac:dyDescent="0.3">
      <c r="A227" s="420">
        <v>1</v>
      </c>
      <c r="C227" s="420">
        <f t="shared" si="15"/>
        <v>26</v>
      </c>
      <c r="D227" s="420">
        <f t="shared" si="16"/>
        <v>20</v>
      </c>
      <c r="E227" s="420">
        <f t="shared" si="17"/>
        <v>15</v>
      </c>
      <c r="F227" s="420" t="str">
        <f t="shared" si="18"/>
        <v>odx</v>
      </c>
      <c r="G227" s="420" t="s">
        <v>689</v>
      </c>
      <c r="H227" s="420" t="s">
        <v>690</v>
      </c>
      <c r="I227" s="420" t="s">
        <v>691</v>
      </c>
      <c r="K227" s="421">
        <f t="shared" si="19"/>
        <v>2400</v>
      </c>
      <c r="M227" s="421">
        <v>2400</v>
      </c>
    </row>
    <row r="228" spans="1:16" x14ac:dyDescent="0.3">
      <c r="A228" s="420">
        <v>1</v>
      </c>
      <c r="C228" s="420">
        <f t="shared" si="15"/>
        <v>27</v>
      </c>
      <c r="D228" s="420">
        <f t="shared" si="16"/>
        <v>20</v>
      </c>
      <c r="E228" s="420">
        <f t="shared" si="17"/>
        <v>15</v>
      </c>
      <c r="F228" s="420" t="str">
        <f t="shared" si="18"/>
        <v>sox</v>
      </c>
      <c r="G228" s="420" t="s">
        <v>692</v>
      </c>
      <c r="H228" s="420" t="s">
        <v>693</v>
      </c>
      <c r="I228" s="420" t="s">
        <v>694</v>
      </c>
      <c r="K228" s="421">
        <f t="shared" si="19"/>
        <v>2400</v>
      </c>
      <c r="M228" s="421">
        <v>2400</v>
      </c>
    </row>
    <row r="229" spans="1:16" x14ac:dyDescent="0.3">
      <c r="A229" s="420">
        <v>1</v>
      </c>
      <c r="C229" s="420">
        <f t="shared" si="15"/>
        <v>28</v>
      </c>
      <c r="D229" s="420">
        <f t="shared" si="16"/>
        <v>20</v>
      </c>
      <c r="E229" s="420">
        <f t="shared" si="17"/>
        <v>15</v>
      </c>
      <c r="F229" s="420" t="str">
        <f t="shared" si="18"/>
        <v>sox</v>
      </c>
      <c r="G229" s="420" t="s">
        <v>695</v>
      </c>
      <c r="H229" s="420" t="s">
        <v>696</v>
      </c>
      <c r="I229" s="420" t="s">
        <v>697</v>
      </c>
      <c r="K229" s="421">
        <f t="shared" si="19"/>
        <v>2400</v>
      </c>
      <c r="M229" s="421">
        <v>2400</v>
      </c>
    </row>
    <row r="230" spans="1:16" x14ac:dyDescent="0.3">
      <c r="A230" s="420">
        <v>3</v>
      </c>
      <c r="C230" s="420">
        <f t="shared" si="15"/>
        <v>29</v>
      </c>
      <c r="D230" s="420">
        <f t="shared" si="16"/>
        <v>20</v>
      </c>
      <c r="E230" s="420">
        <f t="shared" si="17"/>
        <v>15</v>
      </c>
      <c r="F230" s="420" t="str">
        <f t="shared" si="18"/>
        <v>so</v>
      </c>
      <c r="G230" s="420" t="s">
        <v>698</v>
      </c>
      <c r="H230" s="420" t="s">
        <v>696</v>
      </c>
      <c r="I230" s="420" t="s">
        <v>699</v>
      </c>
      <c r="K230" s="421">
        <f t="shared" si="19"/>
        <v>2400</v>
      </c>
      <c r="M230" s="421">
        <v>2400</v>
      </c>
    </row>
    <row r="231" spans="1:16" x14ac:dyDescent="0.3">
      <c r="A231" s="420">
        <v>1</v>
      </c>
      <c r="C231" s="420">
        <f t="shared" si="15"/>
        <v>30</v>
      </c>
      <c r="D231" s="420">
        <f t="shared" si="16"/>
        <v>20</v>
      </c>
      <c r="E231" s="420">
        <f t="shared" si="17"/>
        <v>15</v>
      </c>
      <c r="F231" s="420" t="str">
        <f t="shared" si="18"/>
        <v>pmx</v>
      </c>
      <c r="G231" s="420" t="s">
        <v>700</v>
      </c>
      <c r="H231" s="420" t="s">
        <v>352</v>
      </c>
      <c r="I231" s="420" t="s">
        <v>701</v>
      </c>
      <c r="K231" s="421">
        <f t="shared" si="19"/>
        <v>2400</v>
      </c>
      <c r="M231" s="421">
        <v>2400</v>
      </c>
    </row>
    <row r="232" spans="1:16" x14ac:dyDescent="0.3">
      <c r="A232" s="420">
        <v>4</v>
      </c>
      <c r="C232" s="420">
        <f t="shared" si="15"/>
        <v>31</v>
      </c>
      <c r="D232" s="420">
        <f t="shared" si="16"/>
        <v>20</v>
      </c>
      <c r="E232" s="420">
        <f t="shared" si="17"/>
        <v>15</v>
      </c>
      <c r="F232" s="420" t="str">
        <f t="shared" si="18"/>
        <v>pm</v>
      </c>
      <c r="G232" s="420" t="s">
        <v>702</v>
      </c>
      <c r="H232" s="420" t="s">
        <v>288</v>
      </c>
      <c r="I232" s="420" t="s">
        <v>703</v>
      </c>
      <c r="K232" s="421">
        <f t="shared" si="19"/>
        <v>2400</v>
      </c>
      <c r="M232" s="421">
        <v>2400</v>
      </c>
    </row>
    <row r="233" spans="1:16" x14ac:dyDescent="0.3">
      <c r="A233" s="420">
        <v>5</v>
      </c>
      <c r="C233" s="420">
        <f t="shared" si="15"/>
        <v>32</v>
      </c>
      <c r="D233" s="420">
        <f t="shared" si="16"/>
        <v>32</v>
      </c>
      <c r="E233" s="420">
        <f t="shared" si="17"/>
        <v>15</v>
      </c>
      <c r="F233" s="420" t="str">
        <f t="shared" si="18"/>
        <v>pm</v>
      </c>
      <c r="G233" s="420" t="s">
        <v>704</v>
      </c>
      <c r="H233" s="420" t="s">
        <v>288</v>
      </c>
      <c r="I233" s="420" t="s">
        <v>705</v>
      </c>
      <c r="K233" s="421">
        <f t="shared" si="19"/>
        <v>2429.3281503386752</v>
      </c>
      <c r="M233" s="421">
        <v>2400</v>
      </c>
      <c r="O233" s="420">
        <v>2429.3281503386752</v>
      </c>
    </row>
    <row r="234" spans="1:16" x14ac:dyDescent="0.3">
      <c r="A234" s="420">
        <v>5</v>
      </c>
      <c r="C234" s="420">
        <f t="shared" si="15"/>
        <v>33</v>
      </c>
      <c r="D234" s="420">
        <f t="shared" si="16"/>
        <v>33</v>
      </c>
      <c r="E234" s="420">
        <f t="shared" si="17"/>
        <v>15</v>
      </c>
      <c r="F234" s="420" t="str">
        <f t="shared" si="18"/>
        <v>pm</v>
      </c>
      <c r="G234" s="420" t="s">
        <v>706</v>
      </c>
      <c r="H234" s="420" t="s">
        <v>288</v>
      </c>
      <c r="I234" s="420" t="s">
        <v>707</v>
      </c>
      <c r="K234" s="421">
        <f t="shared" si="19"/>
        <v>2364.2098949089186</v>
      </c>
      <c r="M234" s="421">
        <v>2400</v>
      </c>
      <c r="O234" s="420">
        <v>2364.2098949089186</v>
      </c>
    </row>
    <row r="235" spans="1:16" x14ac:dyDescent="0.3">
      <c r="A235" s="420">
        <v>3</v>
      </c>
      <c r="C235" s="420">
        <f t="shared" si="15"/>
        <v>34</v>
      </c>
      <c r="D235" s="420">
        <f t="shared" si="16"/>
        <v>34</v>
      </c>
      <c r="E235" s="420">
        <f t="shared" si="17"/>
        <v>15</v>
      </c>
      <c r="F235" s="420" t="str">
        <f t="shared" si="18"/>
        <v>pm</v>
      </c>
      <c r="G235" s="420" t="s">
        <v>708</v>
      </c>
      <c r="H235" s="420" t="s">
        <v>227</v>
      </c>
      <c r="I235" s="420" t="s">
        <v>709</v>
      </c>
      <c r="K235" s="421">
        <f t="shared" si="19"/>
        <v>2421.6337699850151</v>
      </c>
      <c r="M235" s="421">
        <v>2333.3333333333335</v>
      </c>
      <c r="O235" s="420">
        <v>2421.6337699850151</v>
      </c>
    </row>
    <row r="236" spans="1:16" x14ac:dyDescent="0.3">
      <c r="A236" s="420">
        <v>5</v>
      </c>
      <c r="C236" s="420">
        <f t="shared" si="15"/>
        <v>35</v>
      </c>
      <c r="D236" s="420">
        <f t="shared" si="16"/>
        <v>35</v>
      </c>
      <c r="E236" s="420">
        <f t="shared" si="17"/>
        <v>15</v>
      </c>
      <c r="F236" s="420" t="str">
        <f t="shared" si="18"/>
        <v>pm</v>
      </c>
      <c r="G236" s="420" t="s">
        <v>710</v>
      </c>
      <c r="H236" s="420" t="s">
        <v>305</v>
      </c>
      <c r="I236" s="420" t="s">
        <v>711</v>
      </c>
      <c r="K236" s="421">
        <f t="shared" si="19"/>
        <v>2443.7279493714677</v>
      </c>
      <c r="M236" s="421">
        <v>2320</v>
      </c>
      <c r="N236" s="420">
        <v>2443.7279493714677</v>
      </c>
    </row>
    <row r="237" spans="1:16" x14ac:dyDescent="0.3">
      <c r="A237" s="420">
        <v>2</v>
      </c>
      <c r="C237" s="420">
        <f t="shared" si="15"/>
        <v>36</v>
      </c>
      <c r="D237" s="420">
        <f t="shared" si="16"/>
        <v>36</v>
      </c>
      <c r="E237" s="420">
        <f t="shared" si="17"/>
        <v>15</v>
      </c>
      <c r="F237" s="420" t="str">
        <f t="shared" si="18"/>
        <v>pm</v>
      </c>
      <c r="G237" s="420" t="s">
        <v>712</v>
      </c>
      <c r="H237" s="420" t="s">
        <v>200</v>
      </c>
      <c r="I237" s="420" t="s">
        <v>713</v>
      </c>
      <c r="K237" s="421">
        <f t="shared" si="19"/>
        <v>2356.2959603435406</v>
      </c>
      <c r="M237" s="421">
        <v>2300</v>
      </c>
      <c r="P237" s="420">
        <v>2356.2959603435406</v>
      </c>
    </row>
    <row r="238" spans="1:16" x14ac:dyDescent="0.3">
      <c r="A238" s="420">
        <v>5</v>
      </c>
      <c r="C238" s="420">
        <f t="shared" si="15"/>
        <v>37</v>
      </c>
      <c r="D238" s="420">
        <f t="shared" si="16"/>
        <v>37</v>
      </c>
      <c r="E238" s="420">
        <f t="shared" si="17"/>
        <v>15</v>
      </c>
      <c r="F238" s="420" t="str">
        <f t="shared" si="18"/>
        <v>pm</v>
      </c>
      <c r="G238" s="420" t="s">
        <v>714</v>
      </c>
      <c r="H238" s="420" t="s">
        <v>715</v>
      </c>
      <c r="I238" s="420" t="s">
        <v>716</v>
      </c>
      <c r="K238" s="421">
        <f t="shared" si="19"/>
        <v>2173.5347882407832</v>
      </c>
      <c r="M238" s="421">
        <v>2240</v>
      </c>
      <c r="P238" s="420">
        <v>2173.5347882407832</v>
      </c>
    </row>
    <row r="239" spans="1:16" x14ac:dyDescent="0.3">
      <c r="A239" s="420">
        <v>2</v>
      </c>
      <c r="C239" s="420">
        <f t="shared" si="15"/>
        <v>38</v>
      </c>
      <c r="D239" s="420">
        <f t="shared" si="16"/>
        <v>38</v>
      </c>
      <c r="E239" s="420">
        <f t="shared" si="17"/>
        <v>15</v>
      </c>
      <c r="F239" s="420" t="str">
        <f t="shared" si="18"/>
        <v>pm</v>
      </c>
      <c r="G239" s="420" t="s">
        <v>717</v>
      </c>
      <c r="H239" s="420" t="s">
        <v>227</v>
      </c>
      <c r="I239" s="420" t="s">
        <v>718</v>
      </c>
      <c r="K239" s="421">
        <f t="shared" si="19"/>
        <v>2200</v>
      </c>
      <c r="M239" s="421">
        <v>2200</v>
      </c>
    </row>
    <row r="240" spans="1:16" x14ac:dyDescent="0.3">
      <c r="A240" s="420">
        <v>2</v>
      </c>
      <c r="C240" s="420">
        <f t="shared" si="15"/>
        <v>39</v>
      </c>
      <c r="D240" s="420">
        <f t="shared" si="16"/>
        <v>38</v>
      </c>
      <c r="E240" s="420">
        <f t="shared" si="17"/>
        <v>15</v>
      </c>
      <c r="F240" s="420" t="str">
        <f t="shared" si="18"/>
        <v>pm</v>
      </c>
      <c r="G240" s="420" t="s">
        <v>719</v>
      </c>
      <c r="H240" s="420" t="s">
        <v>227</v>
      </c>
      <c r="I240" s="420" t="s">
        <v>720</v>
      </c>
      <c r="K240" s="421">
        <f t="shared" si="19"/>
        <v>2200</v>
      </c>
      <c r="M240" s="421">
        <v>2200</v>
      </c>
    </row>
    <row r="241" spans="1:16" x14ac:dyDescent="0.3">
      <c r="A241" s="420">
        <v>2</v>
      </c>
      <c r="C241" s="420">
        <f t="shared" si="15"/>
        <v>40</v>
      </c>
      <c r="D241" s="420">
        <f t="shared" si="16"/>
        <v>38</v>
      </c>
      <c r="E241" s="420">
        <f t="shared" si="17"/>
        <v>15</v>
      </c>
      <c r="F241" s="420" t="str">
        <f t="shared" si="18"/>
        <v>cr</v>
      </c>
      <c r="G241" s="420" t="s">
        <v>721</v>
      </c>
      <c r="H241" s="420" t="s">
        <v>203</v>
      </c>
      <c r="I241" s="420" t="s">
        <v>722</v>
      </c>
      <c r="K241" s="421">
        <f t="shared" si="19"/>
        <v>2200</v>
      </c>
      <c r="M241" s="421">
        <v>2200</v>
      </c>
    </row>
    <row r="242" spans="1:16" x14ac:dyDescent="0.3">
      <c r="A242" s="420">
        <v>2</v>
      </c>
      <c r="C242" s="420">
        <f t="shared" si="15"/>
        <v>41</v>
      </c>
      <c r="D242" s="420">
        <f t="shared" si="16"/>
        <v>38</v>
      </c>
      <c r="E242" s="420">
        <f t="shared" si="17"/>
        <v>15</v>
      </c>
      <c r="F242" s="420" t="str">
        <f t="shared" si="18"/>
        <v>fl</v>
      </c>
      <c r="G242" s="420" t="s">
        <v>723</v>
      </c>
      <c r="H242" s="420" t="s">
        <v>724</v>
      </c>
      <c r="I242" s="420" t="s">
        <v>725</v>
      </c>
      <c r="K242" s="421">
        <f t="shared" si="19"/>
        <v>2200</v>
      </c>
      <c r="M242" s="421">
        <v>2200</v>
      </c>
    </row>
    <row r="243" spans="1:16" x14ac:dyDescent="0.3">
      <c r="A243" s="420">
        <v>3</v>
      </c>
      <c r="C243" s="420">
        <f t="shared" si="15"/>
        <v>42</v>
      </c>
      <c r="D243" s="420">
        <f t="shared" si="16"/>
        <v>42</v>
      </c>
      <c r="E243" s="420">
        <f t="shared" si="17"/>
        <v>15</v>
      </c>
      <c r="F243" s="420" t="str">
        <f t="shared" si="18"/>
        <v>pm</v>
      </c>
      <c r="G243" s="420" t="s">
        <v>726</v>
      </c>
      <c r="H243" s="420" t="s">
        <v>727</v>
      </c>
      <c r="I243" s="420" t="s">
        <v>728</v>
      </c>
      <c r="K243" s="421">
        <f t="shared" si="19"/>
        <v>2098.3727680075549</v>
      </c>
      <c r="M243" s="421">
        <v>2133.3333333333335</v>
      </c>
      <c r="O243" s="420">
        <v>2098.3727680075549</v>
      </c>
    </row>
    <row r="244" spans="1:16" x14ac:dyDescent="0.3">
      <c r="A244" s="420">
        <v>4</v>
      </c>
      <c r="C244" s="420">
        <f t="shared" si="15"/>
        <v>43</v>
      </c>
      <c r="D244" s="420">
        <f t="shared" si="16"/>
        <v>43</v>
      </c>
      <c r="E244" s="420">
        <f t="shared" si="17"/>
        <v>15</v>
      </c>
      <c r="F244" s="420" t="str">
        <f t="shared" si="18"/>
        <v>pm</v>
      </c>
      <c r="G244" s="420" t="s">
        <v>729</v>
      </c>
      <c r="H244" s="420" t="s">
        <v>318</v>
      </c>
      <c r="I244" s="420" t="s">
        <v>730</v>
      </c>
      <c r="K244" s="421">
        <f t="shared" si="19"/>
        <v>2181.9666302120004</v>
      </c>
      <c r="M244" s="421">
        <v>2100</v>
      </c>
      <c r="N244" s="420">
        <v>2157.5785645731467</v>
      </c>
      <c r="P244" s="420">
        <v>2181.9666302120004</v>
      </c>
    </row>
    <row r="245" spans="1:16" x14ac:dyDescent="0.3">
      <c r="A245" s="420">
        <v>5</v>
      </c>
      <c r="C245" s="420">
        <f t="shared" si="15"/>
        <v>44</v>
      </c>
      <c r="D245" s="420">
        <f t="shared" si="16"/>
        <v>44</v>
      </c>
      <c r="E245" s="420">
        <f t="shared" si="17"/>
        <v>15</v>
      </c>
      <c r="F245" s="420" t="str">
        <f t="shared" si="18"/>
        <v>pm</v>
      </c>
      <c r="G245" s="420" t="s">
        <v>731</v>
      </c>
      <c r="H245" s="420" t="s">
        <v>305</v>
      </c>
      <c r="I245" s="420" t="s">
        <v>732</v>
      </c>
      <c r="K245" s="421">
        <f t="shared" si="19"/>
        <v>2069.0723637688607</v>
      </c>
      <c r="M245" s="421">
        <v>2080</v>
      </c>
      <c r="N245" s="420">
        <v>2069.0723637688607</v>
      </c>
    </row>
    <row r="246" spans="1:16" x14ac:dyDescent="0.3">
      <c r="A246" s="420">
        <v>1</v>
      </c>
      <c r="C246" s="420">
        <f t="shared" si="15"/>
        <v>45</v>
      </c>
      <c r="D246" s="420">
        <f t="shared" si="16"/>
        <v>45</v>
      </c>
      <c r="E246" s="420">
        <f t="shared" si="17"/>
        <v>15</v>
      </c>
      <c r="F246" s="420" t="str">
        <f t="shared" si="18"/>
        <v>pmx</v>
      </c>
      <c r="G246" s="420" t="s">
        <v>733</v>
      </c>
      <c r="H246" s="420" t="s">
        <v>237</v>
      </c>
      <c r="I246" s="420" t="s">
        <v>734</v>
      </c>
      <c r="K246" s="421">
        <f t="shared" si="19"/>
        <v>2000</v>
      </c>
      <c r="M246" s="421">
        <v>2000</v>
      </c>
    </row>
    <row r="247" spans="1:16" x14ac:dyDescent="0.3">
      <c r="A247" s="420">
        <v>3</v>
      </c>
      <c r="C247" s="420">
        <f t="shared" si="15"/>
        <v>46</v>
      </c>
      <c r="D247" s="420">
        <f t="shared" si="16"/>
        <v>46</v>
      </c>
      <c r="E247" s="420">
        <f t="shared" si="17"/>
        <v>15</v>
      </c>
      <c r="F247" s="420" t="str">
        <f t="shared" si="18"/>
        <v>pm</v>
      </c>
      <c r="G247" s="420" t="s">
        <v>735</v>
      </c>
      <c r="H247" s="420" t="s">
        <v>243</v>
      </c>
      <c r="I247" s="420" t="s">
        <v>736</v>
      </c>
      <c r="K247" s="421">
        <f t="shared" si="19"/>
        <v>1985.8911223651464</v>
      </c>
      <c r="M247" s="421">
        <v>2000</v>
      </c>
      <c r="N247" s="420">
        <v>1985.8911223651464</v>
      </c>
    </row>
    <row r="248" spans="1:16" x14ac:dyDescent="0.3">
      <c r="A248" s="420">
        <v>3</v>
      </c>
      <c r="C248" s="420">
        <f t="shared" si="15"/>
        <v>47</v>
      </c>
      <c r="D248" s="420">
        <f t="shared" si="16"/>
        <v>47</v>
      </c>
      <c r="E248" s="420">
        <f t="shared" si="17"/>
        <v>15</v>
      </c>
      <c r="F248" s="420" t="str">
        <f t="shared" si="18"/>
        <v>pm</v>
      </c>
      <c r="G248" s="420" t="s">
        <v>737</v>
      </c>
      <c r="H248" s="420" t="s">
        <v>243</v>
      </c>
      <c r="I248" s="420" t="s">
        <v>738</v>
      </c>
      <c r="K248" s="421">
        <f t="shared" si="19"/>
        <v>2014.0023386288276</v>
      </c>
      <c r="M248" s="421">
        <v>2000</v>
      </c>
      <c r="N248" s="420">
        <v>2014.0023386288276</v>
      </c>
    </row>
    <row r="249" spans="1:16" x14ac:dyDescent="0.3">
      <c r="A249" s="420">
        <v>3</v>
      </c>
      <c r="C249" s="420">
        <f t="shared" si="15"/>
        <v>48</v>
      </c>
      <c r="D249" s="420">
        <f t="shared" si="16"/>
        <v>48</v>
      </c>
      <c r="E249" s="420">
        <f t="shared" si="17"/>
        <v>15</v>
      </c>
      <c r="F249" s="420" t="str">
        <f t="shared" si="18"/>
        <v>pm</v>
      </c>
      <c r="G249" s="420" t="s">
        <v>739</v>
      </c>
      <c r="H249" s="420" t="s">
        <v>250</v>
      </c>
      <c r="I249" s="420" t="s">
        <v>740</v>
      </c>
      <c r="K249" s="421">
        <f t="shared" si="19"/>
        <v>2049.5374066277782</v>
      </c>
      <c r="M249" s="421">
        <v>2000</v>
      </c>
      <c r="N249" s="420">
        <v>2049.5374066277782</v>
      </c>
    </row>
    <row r="250" spans="1:16" x14ac:dyDescent="0.3">
      <c r="A250" s="420">
        <v>2</v>
      </c>
      <c r="C250" s="420">
        <f t="shared" si="15"/>
        <v>49</v>
      </c>
      <c r="D250" s="420">
        <f t="shared" si="16"/>
        <v>49</v>
      </c>
      <c r="E250" s="420">
        <f t="shared" si="17"/>
        <v>15</v>
      </c>
      <c r="F250" s="420" t="str">
        <f t="shared" si="18"/>
        <v>pm</v>
      </c>
      <c r="G250" s="420" t="s">
        <v>741</v>
      </c>
      <c r="H250" s="420" t="s">
        <v>742</v>
      </c>
      <c r="I250" s="420" t="s">
        <v>743</v>
      </c>
      <c r="K250" s="421">
        <f t="shared" si="19"/>
        <v>2064.8623824177516</v>
      </c>
      <c r="M250" s="421">
        <v>2000</v>
      </c>
      <c r="N250" s="420">
        <v>2064.8623824177516</v>
      </c>
    </row>
    <row r="251" spans="1:16" x14ac:dyDescent="0.3">
      <c r="A251" s="420">
        <v>7</v>
      </c>
      <c r="C251" s="420">
        <f t="shared" si="15"/>
        <v>50</v>
      </c>
      <c r="D251" s="420">
        <f t="shared" si="16"/>
        <v>50</v>
      </c>
      <c r="E251" s="420">
        <f t="shared" si="17"/>
        <v>15</v>
      </c>
      <c r="F251" s="420" t="str">
        <f t="shared" si="18"/>
        <v>pm</v>
      </c>
      <c r="G251" s="420" t="s">
        <v>744</v>
      </c>
      <c r="H251" s="420" t="s">
        <v>261</v>
      </c>
      <c r="I251" s="420" t="s">
        <v>745</v>
      </c>
      <c r="K251" s="421">
        <f t="shared" si="19"/>
        <v>1912.5278512157745</v>
      </c>
      <c r="M251" s="421">
        <v>2000</v>
      </c>
      <c r="N251" s="420">
        <v>1891.2531382656648</v>
      </c>
      <c r="P251" s="420">
        <v>1912.5278512157745</v>
      </c>
    </row>
    <row r="252" spans="1:16" x14ac:dyDescent="0.3">
      <c r="A252" s="420">
        <v>6</v>
      </c>
      <c r="C252" s="420">
        <f t="shared" si="15"/>
        <v>51</v>
      </c>
      <c r="D252" s="420">
        <f t="shared" si="16"/>
        <v>51</v>
      </c>
      <c r="E252" s="420">
        <f t="shared" si="17"/>
        <v>15</v>
      </c>
      <c r="F252" s="420" t="str">
        <f t="shared" si="18"/>
        <v>pm</v>
      </c>
      <c r="G252" s="420" t="s">
        <v>746</v>
      </c>
      <c r="H252" s="420" t="s">
        <v>224</v>
      </c>
      <c r="I252" s="420" t="s">
        <v>747</v>
      </c>
      <c r="K252" s="421">
        <f t="shared" si="19"/>
        <v>1907.0602982216196</v>
      </c>
      <c r="M252" s="421">
        <v>2000</v>
      </c>
      <c r="P252" s="420">
        <v>1907.0602982216196</v>
      </c>
    </row>
    <row r="253" spans="1:16" x14ac:dyDescent="0.3">
      <c r="A253" s="420">
        <v>3</v>
      </c>
      <c r="C253" s="420">
        <f t="shared" si="15"/>
        <v>52</v>
      </c>
      <c r="D253" s="420">
        <f t="shared" si="16"/>
        <v>52</v>
      </c>
      <c r="E253" s="420">
        <f t="shared" si="17"/>
        <v>15</v>
      </c>
      <c r="F253" s="420" t="str">
        <f t="shared" si="18"/>
        <v>pm</v>
      </c>
      <c r="G253" s="420" t="s">
        <v>748</v>
      </c>
      <c r="H253" s="420" t="s">
        <v>328</v>
      </c>
      <c r="I253" s="420" t="s">
        <v>749</v>
      </c>
      <c r="K253" s="421">
        <f t="shared" si="19"/>
        <v>2000</v>
      </c>
      <c r="M253" s="421">
        <v>2000</v>
      </c>
    </row>
    <row r="254" spans="1:16" x14ac:dyDescent="0.3">
      <c r="A254" s="420">
        <v>4</v>
      </c>
      <c r="C254" s="420">
        <f t="shared" si="15"/>
        <v>53</v>
      </c>
      <c r="D254" s="420">
        <f t="shared" si="16"/>
        <v>53</v>
      </c>
      <c r="E254" s="420">
        <f t="shared" si="17"/>
        <v>15</v>
      </c>
      <c r="F254" s="420" t="str">
        <f t="shared" si="18"/>
        <v>pm</v>
      </c>
      <c r="G254" s="420" t="s">
        <v>750</v>
      </c>
      <c r="H254" s="420" t="s">
        <v>751</v>
      </c>
      <c r="I254" s="420" t="s">
        <v>752</v>
      </c>
      <c r="K254" s="421">
        <f t="shared" si="19"/>
        <v>2100.4547618272268</v>
      </c>
      <c r="M254" s="421">
        <v>2000</v>
      </c>
      <c r="P254" s="420">
        <v>2100.4547618272268</v>
      </c>
    </row>
    <row r="255" spans="1:16" x14ac:dyDescent="0.3">
      <c r="A255" s="420">
        <v>5</v>
      </c>
      <c r="C255" s="420">
        <f t="shared" si="15"/>
        <v>54</v>
      </c>
      <c r="D255" s="420">
        <f t="shared" si="16"/>
        <v>54</v>
      </c>
      <c r="E255" s="420">
        <f t="shared" si="17"/>
        <v>15</v>
      </c>
      <c r="F255" s="420" t="str">
        <f t="shared" si="18"/>
        <v>pm</v>
      </c>
      <c r="G255" s="420" t="s">
        <v>753</v>
      </c>
      <c r="H255" s="420" t="s">
        <v>331</v>
      </c>
      <c r="I255" s="420" t="s">
        <v>754</v>
      </c>
      <c r="K255" s="421">
        <f t="shared" si="19"/>
        <v>1878.0185952211898</v>
      </c>
      <c r="M255" s="421">
        <v>2000</v>
      </c>
      <c r="P255" s="420">
        <v>1878.0185952211898</v>
      </c>
    </row>
    <row r="256" spans="1:16" x14ac:dyDescent="0.3">
      <c r="A256" s="420">
        <v>3</v>
      </c>
      <c r="C256" s="420">
        <f t="shared" si="15"/>
        <v>55</v>
      </c>
      <c r="D256" s="420">
        <f t="shared" si="16"/>
        <v>55</v>
      </c>
      <c r="E256" s="420">
        <f t="shared" si="17"/>
        <v>15</v>
      </c>
      <c r="F256" s="420" t="str">
        <f t="shared" si="18"/>
        <v>pm</v>
      </c>
      <c r="G256" s="420" t="s">
        <v>755</v>
      </c>
      <c r="H256" s="420" t="s">
        <v>331</v>
      </c>
      <c r="I256" s="420" t="s">
        <v>756</v>
      </c>
      <c r="K256" s="421">
        <f t="shared" si="19"/>
        <v>1972.3799548425379</v>
      </c>
      <c r="M256" s="421">
        <v>2000</v>
      </c>
      <c r="P256" s="420">
        <v>1972.3799548425379</v>
      </c>
    </row>
    <row r="257" spans="1:16" x14ac:dyDescent="0.3">
      <c r="A257" s="420">
        <v>6</v>
      </c>
      <c r="C257" s="420">
        <f t="shared" si="15"/>
        <v>56</v>
      </c>
      <c r="D257" s="420">
        <f t="shared" si="16"/>
        <v>56</v>
      </c>
      <c r="E257" s="420">
        <f t="shared" si="17"/>
        <v>15</v>
      </c>
      <c r="F257" s="420" t="str">
        <f t="shared" si="18"/>
        <v>pm</v>
      </c>
      <c r="G257" s="420" t="s">
        <v>757</v>
      </c>
      <c r="H257" s="420" t="s">
        <v>758</v>
      </c>
      <c r="I257" s="420" t="s">
        <v>759</v>
      </c>
      <c r="K257" s="421">
        <f t="shared" si="19"/>
        <v>1882.5235226783811</v>
      </c>
      <c r="M257" s="421">
        <v>2000</v>
      </c>
      <c r="N257" s="420">
        <v>1949.0271934580555</v>
      </c>
      <c r="P257" s="420">
        <v>1882.5235226783811</v>
      </c>
    </row>
    <row r="258" spans="1:16" x14ac:dyDescent="0.3">
      <c r="A258" s="420">
        <v>5</v>
      </c>
      <c r="C258" s="420">
        <f t="shared" ref="C258:C321" si="20">IF(E258=E257,C257+1,1)</f>
        <v>57</v>
      </c>
      <c r="D258" s="420">
        <f t="shared" ref="D258:D321" si="21">IF(K258=K257,D257,C258)</f>
        <v>57</v>
      </c>
      <c r="E258" s="420">
        <f t="shared" ref="E258:E321" si="22">10+VALUE(RIGHT(LEFT(G258,3),1))</f>
        <v>15</v>
      </c>
      <c r="F258" s="420" t="str">
        <f t="shared" ref="F258:F321" si="23">RIGHT(G258,2) &amp; IF(A258&lt;2,"x","")</f>
        <v>pm</v>
      </c>
      <c r="G258" s="420" t="s">
        <v>760</v>
      </c>
      <c r="H258" s="420" t="s">
        <v>761</v>
      </c>
      <c r="I258" s="420" t="s">
        <v>762</v>
      </c>
      <c r="K258" s="421">
        <f t="shared" ref="K258:K321" si="24">LOOKUP(1E+100,M258:AB258)</f>
        <v>1916.4170326361775</v>
      </c>
      <c r="M258" s="421">
        <v>2000</v>
      </c>
      <c r="N258" s="420">
        <v>1916.4170326361775</v>
      </c>
    </row>
    <row r="259" spans="1:16" x14ac:dyDescent="0.3">
      <c r="A259" s="420">
        <v>6</v>
      </c>
      <c r="C259" s="420">
        <f t="shared" si="20"/>
        <v>58</v>
      </c>
      <c r="D259" s="420">
        <f t="shared" si="21"/>
        <v>58</v>
      </c>
      <c r="E259" s="420">
        <f t="shared" si="22"/>
        <v>15</v>
      </c>
      <c r="F259" s="420" t="str">
        <f t="shared" si="23"/>
        <v>pm</v>
      </c>
      <c r="G259" s="420" t="s">
        <v>763</v>
      </c>
      <c r="H259" s="420" t="s">
        <v>288</v>
      </c>
      <c r="I259" s="420" t="s">
        <v>764</v>
      </c>
      <c r="K259" s="421">
        <f t="shared" si="24"/>
        <v>1971.8032083037831</v>
      </c>
      <c r="M259" s="421">
        <v>2000</v>
      </c>
      <c r="P259" s="420">
        <v>1971.8032083037831</v>
      </c>
    </row>
    <row r="260" spans="1:16" x14ac:dyDescent="0.3">
      <c r="A260" s="420">
        <v>6</v>
      </c>
      <c r="C260" s="420">
        <f t="shared" si="20"/>
        <v>59</v>
      </c>
      <c r="D260" s="420">
        <f t="shared" si="21"/>
        <v>59</v>
      </c>
      <c r="E260" s="420">
        <f t="shared" si="22"/>
        <v>15</v>
      </c>
      <c r="F260" s="420" t="str">
        <f t="shared" si="23"/>
        <v>pm</v>
      </c>
      <c r="G260" s="420" t="s">
        <v>765</v>
      </c>
      <c r="H260" s="420" t="s">
        <v>334</v>
      </c>
      <c r="I260" s="420" t="s">
        <v>766</v>
      </c>
      <c r="K260" s="421">
        <f t="shared" si="24"/>
        <v>2029.7452003979715</v>
      </c>
      <c r="M260" s="421">
        <v>2000</v>
      </c>
      <c r="N260" s="420">
        <v>1927.6957131566237</v>
      </c>
      <c r="P260" s="420">
        <v>2029.7452003979715</v>
      </c>
    </row>
    <row r="261" spans="1:16" x14ac:dyDescent="0.3">
      <c r="A261" s="420">
        <v>2</v>
      </c>
      <c r="C261" s="420">
        <f t="shared" si="20"/>
        <v>60</v>
      </c>
      <c r="D261" s="420">
        <f t="shared" si="21"/>
        <v>60</v>
      </c>
      <c r="E261" s="420">
        <f t="shared" si="22"/>
        <v>15</v>
      </c>
      <c r="F261" s="420" t="str">
        <f t="shared" si="23"/>
        <v>cr</v>
      </c>
      <c r="G261" s="420" t="s">
        <v>767</v>
      </c>
      <c r="H261" s="420" t="s">
        <v>203</v>
      </c>
      <c r="I261" s="420" t="s">
        <v>768</v>
      </c>
      <c r="K261" s="421">
        <f t="shared" si="24"/>
        <v>2000</v>
      </c>
      <c r="M261" s="421">
        <v>2000</v>
      </c>
    </row>
    <row r="262" spans="1:16" x14ac:dyDescent="0.3">
      <c r="A262" s="420">
        <v>1</v>
      </c>
      <c r="C262" s="420">
        <f t="shared" si="20"/>
        <v>61</v>
      </c>
      <c r="D262" s="420">
        <f t="shared" si="21"/>
        <v>61</v>
      </c>
      <c r="E262" s="420">
        <f t="shared" si="22"/>
        <v>15</v>
      </c>
      <c r="F262" s="420" t="str">
        <f t="shared" si="23"/>
        <v>crx</v>
      </c>
      <c r="G262" s="420" t="s">
        <v>769</v>
      </c>
      <c r="H262" s="420" t="s">
        <v>770</v>
      </c>
      <c r="I262" s="420" t="s">
        <v>771</v>
      </c>
      <c r="K262" s="421">
        <f t="shared" si="24"/>
        <v>2016.3722143025891</v>
      </c>
      <c r="M262" s="421">
        <v>2000</v>
      </c>
      <c r="N262" s="420">
        <v>2016.3722143025891</v>
      </c>
    </row>
    <row r="263" spans="1:16" x14ac:dyDescent="0.3">
      <c r="A263" s="420">
        <v>3</v>
      </c>
      <c r="C263" s="420">
        <f t="shared" si="20"/>
        <v>62</v>
      </c>
      <c r="D263" s="420">
        <f t="shared" si="21"/>
        <v>62</v>
      </c>
      <c r="E263" s="420">
        <f t="shared" si="22"/>
        <v>15</v>
      </c>
      <c r="F263" s="420" t="str">
        <f t="shared" si="23"/>
        <v>cr</v>
      </c>
      <c r="G263" s="420" t="s">
        <v>772</v>
      </c>
      <c r="H263" s="420" t="s">
        <v>448</v>
      </c>
      <c r="I263" s="420" t="s">
        <v>773</v>
      </c>
      <c r="K263" s="421">
        <f t="shared" si="24"/>
        <v>2000</v>
      </c>
      <c r="M263" s="421">
        <v>2000</v>
      </c>
    </row>
    <row r="264" spans="1:16" x14ac:dyDescent="0.3">
      <c r="A264" s="420">
        <v>1</v>
      </c>
      <c r="C264" s="420">
        <f t="shared" si="20"/>
        <v>1</v>
      </c>
      <c r="D264" s="420">
        <f t="shared" si="21"/>
        <v>1</v>
      </c>
      <c r="E264" s="420">
        <f t="shared" si="22"/>
        <v>16</v>
      </c>
      <c r="F264" s="420" t="str">
        <f t="shared" si="23"/>
        <v>pmx</v>
      </c>
      <c r="G264" s="420" t="s">
        <v>774</v>
      </c>
      <c r="H264" s="420" t="s">
        <v>206</v>
      </c>
      <c r="I264" s="420" t="s">
        <v>775</v>
      </c>
      <c r="K264" s="421">
        <f t="shared" si="24"/>
        <v>2600</v>
      </c>
      <c r="M264" s="421">
        <v>2600</v>
      </c>
    </row>
    <row r="265" spans="1:16" x14ac:dyDescent="0.3">
      <c r="A265" s="420">
        <v>2</v>
      </c>
      <c r="C265" s="420">
        <f t="shared" si="20"/>
        <v>2</v>
      </c>
      <c r="D265" s="420">
        <f t="shared" si="21"/>
        <v>2</v>
      </c>
      <c r="E265" s="420">
        <f t="shared" si="22"/>
        <v>16</v>
      </c>
      <c r="F265" s="420" t="str">
        <f t="shared" si="23"/>
        <v>pm</v>
      </c>
      <c r="G265" s="420" t="s">
        <v>776</v>
      </c>
      <c r="H265" s="420" t="s">
        <v>243</v>
      </c>
      <c r="I265" s="420" t="s">
        <v>777</v>
      </c>
      <c r="K265" s="421">
        <f t="shared" si="24"/>
        <v>2580.3648746748836</v>
      </c>
      <c r="M265" s="421">
        <v>2600</v>
      </c>
      <c r="P265" s="420">
        <v>2580.3648746748836</v>
      </c>
    </row>
    <row r="266" spans="1:16" x14ac:dyDescent="0.3">
      <c r="A266" s="420">
        <v>3</v>
      </c>
      <c r="C266" s="420">
        <f t="shared" si="20"/>
        <v>3</v>
      </c>
      <c r="D266" s="420">
        <f t="shared" si="21"/>
        <v>3</v>
      </c>
      <c r="E266" s="420">
        <f t="shared" si="22"/>
        <v>16</v>
      </c>
      <c r="F266" s="420" t="str">
        <f t="shared" si="23"/>
        <v>pm</v>
      </c>
      <c r="G266" s="420" t="s">
        <v>778</v>
      </c>
      <c r="H266" s="420" t="s">
        <v>256</v>
      </c>
      <c r="I266" s="420" t="s">
        <v>779</v>
      </c>
      <c r="K266" s="421">
        <f t="shared" si="24"/>
        <v>2567.1046561128701</v>
      </c>
      <c r="M266" s="421">
        <v>2600</v>
      </c>
      <c r="O266" s="420">
        <v>2672.5298221415514</v>
      </c>
      <c r="P266" s="420">
        <v>2567.1046561128701</v>
      </c>
    </row>
    <row r="267" spans="1:16" x14ac:dyDescent="0.3">
      <c r="A267" s="420">
        <v>5</v>
      </c>
      <c r="C267" s="420">
        <f t="shared" si="20"/>
        <v>4</v>
      </c>
      <c r="D267" s="420">
        <f t="shared" si="21"/>
        <v>4</v>
      </c>
      <c r="E267" s="420">
        <f t="shared" si="22"/>
        <v>16</v>
      </c>
      <c r="F267" s="420" t="str">
        <f t="shared" si="23"/>
        <v>pm</v>
      </c>
      <c r="G267" s="420" t="s">
        <v>780</v>
      </c>
      <c r="H267" s="420" t="s">
        <v>261</v>
      </c>
      <c r="I267" s="420" t="s">
        <v>781</v>
      </c>
      <c r="K267" s="421">
        <f t="shared" si="24"/>
        <v>2659.5481757882421</v>
      </c>
      <c r="M267" s="421">
        <v>2600</v>
      </c>
      <c r="P267" s="420">
        <v>2659.5481757882421</v>
      </c>
    </row>
    <row r="268" spans="1:16" x14ac:dyDescent="0.3">
      <c r="A268" s="420">
        <v>6</v>
      </c>
      <c r="C268" s="420">
        <f t="shared" si="20"/>
        <v>5</v>
      </c>
      <c r="D268" s="420">
        <f t="shared" si="21"/>
        <v>5</v>
      </c>
      <c r="E268" s="420">
        <f t="shared" si="22"/>
        <v>16</v>
      </c>
      <c r="F268" s="420" t="str">
        <f t="shared" si="23"/>
        <v>pm</v>
      </c>
      <c r="G268" s="420" t="s">
        <v>782</v>
      </c>
      <c r="H268" s="420" t="s">
        <v>261</v>
      </c>
      <c r="I268" s="420" t="s">
        <v>783</v>
      </c>
      <c r="K268" s="421">
        <f t="shared" si="24"/>
        <v>2447.7127781169233</v>
      </c>
      <c r="M268" s="421">
        <v>2600</v>
      </c>
      <c r="O268" s="420">
        <v>2576.6911553687651</v>
      </c>
      <c r="P268" s="420">
        <v>2447.7127781169233</v>
      </c>
    </row>
    <row r="269" spans="1:16" x14ac:dyDescent="0.3">
      <c r="A269" s="420">
        <v>3</v>
      </c>
      <c r="C269" s="420">
        <f t="shared" si="20"/>
        <v>6</v>
      </c>
      <c r="D269" s="420">
        <f t="shared" si="21"/>
        <v>6</v>
      </c>
      <c r="E269" s="420">
        <f t="shared" si="22"/>
        <v>16</v>
      </c>
      <c r="F269" s="420" t="str">
        <f t="shared" si="23"/>
        <v>pm</v>
      </c>
      <c r="G269" s="420" t="s">
        <v>784</v>
      </c>
      <c r="H269" s="420" t="s">
        <v>318</v>
      </c>
      <c r="I269" s="420" t="s">
        <v>785</v>
      </c>
      <c r="K269" s="421">
        <f t="shared" si="24"/>
        <v>2757.3384734737615</v>
      </c>
      <c r="M269" s="421">
        <v>2600</v>
      </c>
      <c r="N269" s="420">
        <v>2722.9696572781031</v>
      </c>
      <c r="P269" s="420">
        <v>2757.3384734737615</v>
      </c>
    </row>
    <row r="270" spans="1:16" x14ac:dyDescent="0.3">
      <c r="A270" s="420">
        <v>1</v>
      </c>
      <c r="C270" s="420">
        <f t="shared" si="20"/>
        <v>7</v>
      </c>
      <c r="D270" s="420">
        <f t="shared" si="21"/>
        <v>7</v>
      </c>
      <c r="E270" s="420">
        <f t="shared" si="22"/>
        <v>16</v>
      </c>
      <c r="F270" s="420" t="str">
        <f t="shared" si="23"/>
        <v>pmx</v>
      </c>
      <c r="G270" s="420" t="s">
        <v>786</v>
      </c>
      <c r="H270" s="420" t="s">
        <v>270</v>
      </c>
      <c r="I270" s="420" t="s">
        <v>787</v>
      </c>
      <c r="K270" s="421">
        <f t="shared" si="24"/>
        <v>2600</v>
      </c>
      <c r="M270" s="421">
        <v>2600</v>
      </c>
    </row>
    <row r="271" spans="1:16" x14ac:dyDescent="0.3">
      <c r="A271" s="420">
        <v>7</v>
      </c>
      <c r="C271" s="420">
        <f t="shared" si="20"/>
        <v>8</v>
      </c>
      <c r="D271" s="420">
        <f t="shared" si="21"/>
        <v>8</v>
      </c>
      <c r="E271" s="420">
        <f t="shared" si="22"/>
        <v>16</v>
      </c>
      <c r="F271" s="420" t="str">
        <f t="shared" si="23"/>
        <v>pm</v>
      </c>
      <c r="G271" s="420" t="s">
        <v>788</v>
      </c>
      <c r="H271" s="420" t="s">
        <v>416</v>
      </c>
      <c r="I271" s="420" t="s">
        <v>789</v>
      </c>
      <c r="K271" s="421">
        <f t="shared" si="24"/>
        <v>2358.4875528013863</v>
      </c>
      <c r="M271" s="421">
        <v>2600</v>
      </c>
      <c r="O271" s="420">
        <v>2472.9439059976125</v>
      </c>
      <c r="P271" s="420">
        <v>2358.4875528013863</v>
      </c>
    </row>
    <row r="272" spans="1:16" x14ac:dyDescent="0.3">
      <c r="A272" s="420">
        <v>3</v>
      </c>
      <c r="C272" s="420">
        <f t="shared" si="20"/>
        <v>9</v>
      </c>
      <c r="D272" s="420">
        <f t="shared" si="21"/>
        <v>9</v>
      </c>
      <c r="E272" s="420">
        <f t="shared" si="22"/>
        <v>16</v>
      </c>
      <c r="F272" s="420" t="str">
        <f t="shared" si="23"/>
        <v>pm</v>
      </c>
      <c r="G272" s="420" t="s">
        <v>790</v>
      </c>
      <c r="H272" s="420" t="s">
        <v>224</v>
      </c>
      <c r="I272" s="420" t="s">
        <v>791</v>
      </c>
      <c r="K272" s="421">
        <f t="shared" si="24"/>
        <v>2600</v>
      </c>
      <c r="M272" s="421">
        <v>2600</v>
      </c>
    </row>
    <row r="273" spans="1:16" x14ac:dyDescent="0.3">
      <c r="A273" s="420">
        <v>2</v>
      </c>
      <c r="C273" s="420">
        <f t="shared" si="20"/>
        <v>10</v>
      </c>
      <c r="D273" s="420">
        <f t="shared" si="21"/>
        <v>10</v>
      </c>
      <c r="E273" s="420">
        <f t="shared" si="22"/>
        <v>16</v>
      </c>
      <c r="F273" s="420" t="str">
        <f t="shared" si="23"/>
        <v>pm</v>
      </c>
      <c r="G273" s="420" t="s">
        <v>792</v>
      </c>
      <c r="H273" s="420" t="s">
        <v>328</v>
      </c>
      <c r="I273" s="420" t="s">
        <v>793</v>
      </c>
      <c r="K273" s="421">
        <f t="shared" si="24"/>
        <v>2705.5892446180078</v>
      </c>
      <c r="M273" s="421">
        <v>2600</v>
      </c>
      <c r="O273" s="420">
        <v>2705.5892446180078</v>
      </c>
    </row>
    <row r="274" spans="1:16" x14ac:dyDescent="0.3">
      <c r="A274" s="420">
        <v>7</v>
      </c>
      <c r="C274" s="420">
        <f t="shared" si="20"/>
        <v>11</v>
      </c>
      <c r="D274" s="420">
        <f t="shared" si="21"/>
        <v>11</v>
      </c>
      <c r="E274" s="420">
        <f t="shared" si="22"/>
        <v>16</v>
      </c>
      <c r="F274" s="420" t="str">
        <f t="shared" si="23"/>
        <v>pm</v>
      </c>
      <c r="G274" s="420" t="s">
        <v>794</v>
      </c>
      <c r="H274" s="420" t="s">
        <v>278</v>
      </c>
      <c r="I274" s="420" t="s">
        <v>795</v>
      </c>
      <c r="K274" s="421">
        <f t="shared" si="24"/>
        <v>2553.0896955519429</v>
      </c>
      <c r="M274" s="421">
        <v>2600</v>
      </c>
      <c r="O274" s="420">
        <v>2593.0976126550672</v>
      </c>
      <c r="P274" s="420">
        <v>2553.0896955519429</v>
      </c>
    </row>
    <row r="275" spans="1:16" x14ac:dyDescent="0.3">
      <c r="A275" s="420">
        <v>2</v>
      </c>
      <c r="C275" s="420">
        <f t="shared" si="20"/>
        <v>12</v>
      </c>
      <c r="D275" s="420">
        <f t="shared" si="21"/>
        <v>12</v>
      </c>
      <c r="E275" s="420">
        <f t="shared" si="22"/>
        <v>16</v>
      </c>
      <c r="F275" s="420" t="str">
        <f t="shared" si="23"/>
        <v>pm</v>
      </c>
      <c r="G275" s="420" t="s">
        <v>796</v>
      </c>
      <c r="H275" s="420" t="s">
        <v>349</v>
      </c>
      <c r="I275" s="420" t="s">
        <v>797</v>
      </c>
      <c r="K275" s="421">
        <f t="shared" si="24"/>
        <v>2600</v>
      </c>
      <c r="M275" s="421">
        <v>2600</v>
      </c>
    </row>
    <row r="276" spans="1:16" x14ac:dyDescent="0.3">
      <c r="A276" s="420">
        <v>1</v>
      </c>
      <c r="C276" s="420">
        <f t="shared" si="20"/>
        <v>13</v>
      </c>
      <c r="D276" s="420">
        <f t="shared" si="21"/>
        <v>12</v>
      </c>
      <c r="E276" s="420">
        <f t="shared" si="22"/>
        <v>16</v>
      </c>
      <c r="F276" s="420" t="str">
        <f t="shared" si="23"/>
        <v>pmx</v>
      </c>
      <c r="G276" s="420" t="s">
        <v>798</v>
      </c>
      <c r="H276" s="420" t="s">
        <v>352</v>
      </c>
      <c r="I276" s="420" t="s">
        <v>799</v>
      </c>
      <c r="K276" s="421">
        <f t="shared" si="24"/>
        <v>2600</v>
      </c>
      <c r="M276" s="421">
        <v>2600</v>
      </c>
    </row>
    <row r="277" spans="1:16" x14ac:dyDescent="0.3">
      <c r="A277" s="420">
        <v>4</v>
      </c>
      <c r="C277" s="420">
        <f t="shared" si="20"/>
        <v>14</v>
      </c>
      <c r="D277" s="420">
        <f t="shared" si="21"/>
        <v>14</v>
      </c>
      <c r="E277" s="420">
        <f t="shared" si="22"/>
        <v>16</v>
      </c>
      <c r="F277" s="420" t="str">
        <f t="shared" si="23"/>
        <v>pm</v>
      </c>
      <c r="G277" s="420" t="s">
        <v>800</v>
      </c>
      <c r="H277" s="420" t="s">
        <v>801</v>
      </c>
      <c r="I277" s="420" t="s">
        <v>802</v>
      </c>
      <c r="K277" s="421">
        <f t="shared" si="24"/>
        <v>2563.6487837848899</v>
      </c>
      <c r="M277" s="421">
        <v>2600</v>
      </c>
      <c r="O277" s="420">
        <v>2563.6487837848899</v>
      </c>
    </row>
    <row r="278" spans="1:16" x14ac:dyDescent="0.3">
      <c r="A278" s="420">
        <v>5</v>
      </c>
      <c r="C278" s="420">
        <f t="shared" si="20"/>
        <v>15</v>
      </c>
      <c r="D278" s="420">
        <f t="shared" si="21"/>
        <v>15</v>
      </c>
      <c r="E278" s="420">
        <f t="shared" si="22"/>
        <v>16</v>
      </c>
      <c r="F278" s="420" t="str">
        <f t="shared" si="23"/>
        <v>pm</v>
      </c>
      <c r="G278" s="420" t="s">
        <v>803</v>
      </c>
      <c r="H278" s="420" t="s">
        <v>715</v>
      </c>
      <c r="I278" s="420" t="s">
        <v>804</v>
      </c>
      <c r="K278" s="421">
        <f t="shared" si="24"/>
        <v>2524.8183993026673</v>
      </c>
      <c r="M278" s="421">
        <v>2600</v>
      </c>
      <c r="P278" s="420">
        <v>2524.8183993026673</v>
      </c>
    </row>
    <row r="279" spans="1:16" x14ac:dyDescent="0.3">
      <c r="A279" s="420">
        <v>4</v>
      </c>
      <c r="C279" s="420">
        <f t="shared" si="20"/>
        <v>16</v>
      </c>
      <c r="D279" s="420">
        <f t="shared" si="21"/>
        <v>16</v>
      </c>
      <c r="E279" s="420">
        <f t="shared" si="22"/>
        <v>16</v>
      </c>
      <c r="F279" s="420" t="str">
        <f t="shared" si="23"/>
        <v>pm</v>
      </c>
      <c r="G279" s="420" t="s">
        <v>805</v>
      </c>
      <c r="H279" s="420" t="s">
        <v>215</v>
      </c>
      <c r="I279" s="420" t="s">
        <v>806</v>
      </c>
      <c r="K279" s="421">
        <f t="shared" si="24"/>
        <v>2503.9998422119766</v>
      </c>
      <c r="M279" s="421">
        <v>2600</v>
      </c>
      <c r="P279" s="420">
        <v>2503.9998422119766</v>
      </c>
    </row>
    <row r="280" spans="1:16" x14ac:dyDescent="0.3">
      <c r="A280" s="420">
        <v>2</v>
      </c>
      <c r="C280" s="420">
        <f t="shared" si="20"/>
        <v>17</v>
      </c>
      <c r="D280" s="420">
        <f t="shared" si="21"/>
        <v>17</v>
      </c>
      <c r="E280" s="420">
        <f t="shared" si="22"/>
        <v>16</v>
      </c>
      <c r="F280" s="420" t="str">
        <f t="shared" si="23"/>
        <v>pm</v>
      </c>
      <c r="G280" s="420" t="s">
        <v>807</v>
      </c>
      <c r="H280" s="420" t="s">
        <v>283</v>
      </c>
      <c r="I280" s="420" t="s">
        <v>808</v>
      </c>
      <c r="K280" s="421">
        <f t="shared" si="24"/>
        <v>2600</v>
      </c>
      <c r="M280" s="421">
        <v>2600</v>
      </c>
    </row>
    <row r="281" spans="1:16" x14ac:dyDescent="0.3">
      <c r="A281" s="420">
        <v>3</v>
      </c>
      <c r="C281" s="420">
        <f t="shared" si="20"/>
        <v>18</v>
      </c>
      <c r="D281" s="420">
        <f t="shared" si="21"/>
        <v>17</v>
      </c>
      <c r="E281" s="420">
        <f t="shared" si="22"/>
        <v>16</v>
      </c>
      <c r="F281" s="420" t="str">
        <f t="shared" si="23"/>
        <v>pm</v>
      </c>
      <c r="G281" s="420" t="s">
        <v>809</v>
      </c>
      <c r="H281" s="420" t="s">
        <v>288</v>
      </c>
      <c r="I281" s="420" t="s">
        <v>810</v>
      </c>
      <c r="K281" s="421">
        <f t="shared" si="24"/>
        <v>2600</v>
      </c>
      <c r="M281" s="421">
        <v>2600</v>
      </c>
    </row>
    <row r="282" spans="1:16" x14ac:dyDescent="0.3">
      <c r="A282" s="420">
        <v>5</v>
      </c>
      <c r="C282" s="420">
        <f t="shared" si="20"/>
        <v>19</v>
      </c>
      <c r="D282" s="420">
        <f t="shared" si="21"/>
        <v>19</v>
      </c>
      <c r="E282" s="420">
        <f t="shared" si="22"/>
        <v>16</v>
      </c>
      <c r="F282" s="420" t="str">
        <f t="shared" si="23"/>
        <v>pm</v>
      </c>
      <c r="G282" s="420" t="s">
        <v>811</v>
      </c>
      <c r="H282" s="420" t="s">
        <v>288</v>
      </c>
      <c r="I282" s="420" t="s">
        <v>812</v>
      </c>
      <c r="K282" s="421">
        <f t="shared" si="24"/>
        <v>2527.0281820476162</v>
      </c>
      <c r="M282" s="421">
        <v>2600</v>
      </c>
      <c r="O282" s="420">
        <v>2527.0281820476162</v>
      </c>
    </row>
    <row r="283" spans="1:16" x14ac:dyDescent="0.3">
      <c r="A283" s="420">
        <v>5</v>
      </c>
      <c r="C283" s="420">
        <f t="shared" si="20"/>
        <v>20</v>
      </c>
      <c r="D283" s="420">
        <f t="shared" si="21"/>
        <v>20</v>
      </c>
      <c r="E283" s="420">
        <f t="shared" si="22"/>
        <v>16</v>
      </c>
      <c r="F283" s="420" t="str">
        <f t="shared" si="23"/>
        <v>pm</v>
      </c>
      <c r="G283" s="420" t="s">
        <v>813</v>
      </c>
      <c r="H283" s="420" t="s">
        <v>288</v>
      </c>
      <c r="I283" s="420" t="s">
        <v>814</v>
      </c>
      <c r="K283" s="421">
        <f t="shared" si="24"/>
        <v>2506.0968226223522</v>
      </c>
      <c r="M283" s="421">
        <v>2600</v>
      </c>
      <c r="O283" s="420">
        <v>2506.0968226223522</v>
      </c>
    </row>
    <row r="284" spans="1:16" x14ac:dyDescent="0.3">
      <c r="A284" s="420">
        <v>1</v>
      </c>
      <c r="C284" s="420">
        <f t="shared" si="20"/>
        <v>21</v>
      </c>
      <c r="D284" s="420">
        <f t="shared" si="21"/>
        <v>21</v>
      </c>
      <c r="E284" s="420">
        <f t="shared" si="22"/>
        <v>16</v>
      </c>
      <c r="F284" s="420" t="str">
        <f t="shared" si="23"/>
        <v>pmx</v>
      </c>
      <c r="G284" s="420" t="s">
        <v>815</v>
      </c>
      <c r="H284" s="420" t="s">
        <v>218</v>
      </c>
      <c r="I284" s="420" t="s">
        <v>816</v>
      </c>
      <c r="K284" s="421">
        <f t="shared" si="24"/>
        <v>2600</v>
      </c>
      <c r="M284" s="421">
        <v>2600</v>
      </c>
    </row>
    <row r="285" spans="1:16" x14ac:dyDescent="0.3">
      <c r="A285" s="420">
        <v>2</v>
      </c>
      <c r="C285" s="420">
        <f t="shared" si="20"/>
        <v>22</v>
      </c>
      <c r="D285" s="420">
        <f t="shared" si="21"/>
        <v>22</v>
      </c>
      <c r="E285" s="420">
        <f t="shared" si="22"/>
        <v>16</v>
      </c>
      <c r="F285" s="420" t="str">
        <f t="shared" si="23"/>
        <v>pm</v>
      </c>
      <c r="G285" s="420" t="s">
        <v>817</v>
      </c>
      <c r="H285" s="420" t="s">
        <v>491</v>
      </c>
      <c r="I285" s="420" t="s">
        <v>818</v>
      </c>
      <c r="K285" s="421">
        <f t="shared" si="24"/>
        <v>2672.5719297904616</v>
      </c>
      <c r="M285" s="421">
        <v>2600</v>
      </c>
      <c r="P285" s="420">
        <v>2672.5719297904616</v>
      </c>
    </row>
    <row r="286" spans="1:16" x14ac:dyDescent="0.3">
      <c r="A286" s="420">
        <v>2</v>
      </c>
      <c r="C286" s="420">
        <f t="shared" si="20"/>
        <v>23</v>
      </c>
      <c r="D286" s="420">
        <f t="shared" si="21"/>
        <v>23</v>
      </c>
      <c r="E286" s="420">
        <f t="shared" si="22"/>
        <v>16</v>
      </c>
      <c r="F286" s="420" t="str">
        <f t="shared" si="23"/>
        <v>pm</v>
      </c>
      <c r="G286" s="420" t="s">
        <v>819</v>
      </c>
      <c r="H286" s="420" t="s">
        <v>491</v>
      </c>
      <c r="I286" s="420" t="s">
        <v>820</v>
      </c>
      <c r="K286" s="421">
        <f t="shared" si="24"/>
        <v>2575.1856509639724</v>
      </c>
      <c r="M286" s="421">
        <v>2600</v>
      </c>
      <c r="P286" s="420">
        <v>2575.1856509639724</v>
      </c>
    </row>
    <row r="287" spans="1:16" x14ac:dyDescent="0.3">
      <c r="A287" s="420">
        <v>3</v>
      </c>
      <c r="C287" s="420">
        <f t="shared" si="20"/>
        <v>24</v>
      </c>
      <c r="D287" s="420">
        <f t="shared" si="21"/>
        <v>24</v>
      </c>
      <c r="E287" s="420">
        <f t="shared" si="22"/>
        <v>16</v>
      </c>
      <c r="F287" s="420" t="str">
        <f t="shared" si="23"/>
        <v>pm</v>
      </c>
      <c r="G287" s="420" t="s">
        <v>821</v>
      </c>
      <c r="H287" s="420" t="s">
        <v>221</v>
      </c>
      <c r="I287" s="420" t="s">
        <v>822</v>
      </c>
      <c r="K287" s="421">
        <f t="shared" si="24"/>
        <v>2600</v>
      </c>
      <c r="M287" s="421">
        <v>2600</v>
      </c>
    </row>
    <row r="288" spans="1:16" x14ac:dyDescent="0.3">
      <c r="A288" s="420">
        <v>2</v>
      </c>
      <c r="C288" s="420">
        <f t="shared" si="20"/>
        <v>25</v>
      </c>
      <c r="D288" s="420">
        <f t="shared" si="21"/>
        <v>25</v>
      </c>
      <c r="E288" s="420">
        <f t="shared" si="22"/>
        <v>16</v>
      </c>
      <c r="F288" s="420" t="str">
        <f t="shared" si="23"/>
        <v>cr</v>
      </c>
      <c r="G288" s="420" t="s">
        <v>823</v>
      </c>
      <c r="H288" s="420" t="s">
        <v>203</v>
      </c>
      <c r="I288" s="420" t="s">
        <v>824</v>
      </c>
      <c r="K288" s="421">
        <f t="shared" si="24"/>
        <v>2665.7413599974529</v>
      </c>
      <c r="M288" s="421">
        <v>2600</v>
      </c>
      <c r="O288" s="420">
        <v>2665.7413599974529</v>
      </c>
    </row>
    <row r="289" spans="1:16" x14ac:dyDescent="0.3">
      <c r="A289" s="420">
        <v>1</v>
      </c>
      <c r="C289" s="420">
        <f t="shared" si="20"/>
        <v>26</v>
      </c>
      <c r="D289" s="420">
        <f t="shared" si="21"/>
        <v>26</v>
      </c>
      <c r="E289" s="420">
        <f t="shared" si="22"/>
        <v>16</v>
      </c>
      <c r="F289" s="420" t="str">
        <f t="shared" si="23"/>
        <v>crx</v>
      </c>
      <c r="G289" s="420" t="s">
        <v>825</v>
      </c>
      <c r="H289" s="420" t="s">
        <v>826</v>
      </c>
      <c r="I289" s="420" t="s">
        <v>827</v>
      </c>
      <c r="K289" s="421">
        <f t="shared" si="24"/>
        <v>2606.0774111634073</v>
      </c>
      <c r="M289" s="421">
        <v>2600</v>
      </c>
      <c r="P289" s="420">
        <v>2606.0774111634073</v>
      </c>
    </row>
    <row r="290" spans="1:16" x14ac:dyDescent="0.3">
      <c r="A290" s="420">
        <v>1</v>
      </c>
      <c r="C290" s="420">
        <f t="shared" si="20"/>
        <v>27</v>
      </c>
      <c r="D290" s="420">
        <f t="shared" si="21"/>
        <v>27</v>
      </c>
      <c r="E290" s="420">
        <f t="shared" si="22"/>
        <v>16</v>
      </c>
      <c r="F290" s="420" t="str">
        <f t="shared" si="23"/>
        <v>crx</v>
      </c>
      <c r="G290" s="420" t="s">
        <v>828</v>
      </c>
      <c r="H290" s="420" t="s">
        <v>829</v>
      </c>
      <c r="I290" s="420" t="s">
        <v>830</v>
      </c>
      <c r="K290" s="421">
        <f t="shared" si="24"/>
        <v>2600</v>
      </c>
      <c r="M290" s="421">
        <v>2600</v>
      </c>
    </row>
    <row r="291" spans="1:16" x14ac:dyDescent="0.3">
      <c r="A291" s="420">
        <v>1</v>
      </c>
      <c r="C291" s="420">
        <f t="shared" si="20"/>
        <v>28</v>
      </c>
      <c r="D291" s="420">
        <f t="shared" si="21"/>
        <v>27</v>
      </c>
      <c r="E291" s="420">
        <f t="shared" si="22"/>
        <v>16</v>
      </c>
      <c r="F291" s="420" t="str">
        <f t="shared" si="23"/>
        <v>crx</v>
      </c>
      <c r="G291" s="420" t="s">
        <v>831</v>
      </c>
      <c r="H291" s="420" t="s">
        <v>832</v>
      </c>
      <c r="I291" s="420" t="s">
        <v>833</v>
      </c>
      <c r="K291" s="421">
        <f t="shared" si="24"/>
        <v>2600</v>
      </c>
      <c r="M291" s="421">
        <v>2600</v>
      </c>
    </row>
    <row r="292" spans="1:16" x14ac:dyDescent="0.3">
      <c r="A292" s="420">
        <v>1</v>
      </c>
      <c r="C292" s="420">
        <f t="shared" si="20"/>
        <v>29</v>
      </c>
      <c r="D292" s="420">
        <f t="shared" si="21"/>
        <v>27</v>
      </c>
      <c r="E292" s="420">
        <f t="shared" si="22"/>
        <v>16</v>
      </c>
      <c r="F292" s="420" t="str">
        <f t="shared" si="23"/>
        <v>crx</v>
      </c>
      <c r="G292" s="420" t="s">
        <v>834</v>
      </c>
      <c r="H292" s="420" t="s">
        <v>832</v>
      </c>
      <c r="I292" s="420" t="s">
        <v>835</v>
      </c>
      <c r="K292" s="421">
        <f t="shared" si="24"/>
        <v>2600</v>
      </c>
      <c r="M292" s="421">
        <v>2600</v>
      </c>
    </row>
    <row r="293" spans="1:16" x14ac:dyDescent="0.3">
      <c r="A293" s="420">
        <v>1</v>
      </c>
      <c r="C293" s="420">
        <f t="shared" si="20"/>
        <v>30</v>
      </c>
      <c r="D293" s="420">
        <f t="shared" si="21"/>
        <v>27</v>
      </c>
      <c r="E293" s="420">
        <f t="shared" si="22"/>
        <v>16</v>
      </c>
      <c r="F293" s="420" t="str">
        <f t="shared" si="23"/>
        <v>crx</v>
      </c>
      <c r="G293" s="420" t="s">
        <v>836</v>
      </c>
      <c r="H293" s="420" t="s">
        <v>369</v>
      </c>
      <c r="I293" s="420" t="s">
        <v>837</v>
      </c>
      <c r="K293" s="421">
        <f t="shared" si="24"/>
        <v>2600</v>
      </c>
      <c r="M293" s="421">
        <v>2600</v>
      </c>
    </row>
    <row r="294" spans="1:16" x14ac:dyDescent="0.3">
      <c r="A294" s="420">
        <v>1</v>
      </c>
      <c r="C294" s="420">
        <f t="shared" si="20"/>
        <v>31</v>
      </c>
      <c r="D294" s="420">
        <f t="shared" si="21"/>
        <v>27</v>
      </c>
      <c r="E294" s="420">
        <f t="shared" si="22"/>
        <v>16</v>
      </c>
      <c r="F294" s="420" t="str">
        <f t="shared" si="23"/>
        <v>crx</v>
      </c>
      <c r="G294" s="420" t="s">
        <v>838</v>
      </c>
      <c r="H294" s="420" t="s">
        <v>372</v>
      </c>
      <c r="I294" s="420" t="s">
        <v>839</v>
      </c>
      <c r="K294" s="421">
        <f t="shared" si="24"/>
        <v>2600</v>
      </c>
      <c r="M294" s="421">
        <v>2600</v>
      </c>
    </row>
    <row r="295" spans="1:16" x14ac:dyDescent="0.3">
      <c r="A295" s="420">
        <v>1</v>
      </c>
      <c r="C295" s="420">
        <f t="shared" si="20"/>
        <v>32</v>
      </c>
      <c r="D295" s="420">
        <f t="shared" si="21"/>
        <v>27</v>
      </c>
      <c r="E295" s="420">
        <f t="shared" si="22"/>
        <v>16</v>
      </c>
      <c r="F295" s="420" t="str">
        <f t="shared" si="23"/>
        <v>crx</v>
      </c>
      <c r="G295" s="420" t="s">
        <v>840</v>
      </c>
      <c r="H295" s="420" t="s">
        <v>372</v>
      </c>
      <c r="I295" s="420" t="s">
        <v>841</v>
      </c>
      <c r="K295" s="421">
        <f t="shared" si="24"/>
        <v>2600</v>
      </c>
      <c r="M295" s="421">
        <v>2600</v>
      </c>
    </row>
    <row r="296" spans="1:16" x14ac:dyDescent="0.3">
      <c r="A296" s="420">
        <v>1</v>
      </c>
      <c r="C296" s="420">
        <f t="shared" si="20"/>
        <v>33</v>
      </c>
      <c r="D296" s="420">
        <f t="shared" si="21"/>
        <v>27</v>
      </c>
      <c r="E296" s="420">
        <f t="shared" si="22"/>
        <v>16</v>
      </c>
      <c r="F296" s="420" t="str">
        <f t="shared" si="23"/>
        <v>gex</v>
      </c>
      <c r="G296" s="420" t="s">
        <v>842</v>
      </c>
      <c r="H296" s="420" t="s">
        <v>843</v>
      </c>
      <c r="I296" s="420" t="s">
        <v>844</v>
      </c>
      <c r="K296" s="421">
        <f t="shared" si="24"/>
        <v>2600</v>
      </c>
      <c r="M296" s="421">
        <v>2600</v>
      </c>
    </row>
    <row r="297" spans="1:16" x14ac:dyDescent="0.3">
      <c r="A297" s="420">
        <v>1</v>
      </c>
      <c r="C297" s="420">
        <f t="shared" si="20"/>
        <v>34</v>
      </c>
      <c r="D297" s="420">
        <f t="shared" si="21"/>
        <v>27</v>
      </c>
      <c r="E297" s="420">
        <f t="shared" si="22"/>
        <v>16</v>
      </c>
      <c r="F297" s="420" t="str">
        <f t="shared" si="23"/>
        <v>sox</v>
      </c>
      <c r="G297" s="420" t="s">
        <v>845</v>
      </c>
      <c r="H297" s="420" t="s">
        <v>846</v>
      </c>
      <c r="I297" s="420" t="s">
        <v>847</v>
      </c>
      <c r="K297" s="421">
        <f t="shared" si="24"/>
        <v>2600</v>
      </c>
      <c r="M297" s="421">
        <v>2600</v>
      </c>
    </row>
    <row r="298" spans="1:16" x14ac:dyDescent="0.3">
      <c r="A298" s="420">
        <v>1</v>
      </c>
      <c r="C298" s="420">
        <f t="shared" si="20"/>
        <v>35</v>
      </c>
      <c r="D298" s="420">
        <f t="shared" si="21"/>
        <v>27</v>
      </c>
      <c r="E298" s="420">
        <f t="shared" si="22"/>
        <v>16</v>
      </c>
      <c r="F298" s="420" t="str">
        <f t="shared" si="23"/>
        <v>sox</v>
      </c>
      <c r="G298" s="420" t="s">
        <v>848</v>
      </c>
      <c r="H298" s="420" t="s">
        <v>696</v>
      </c>
      <c r="I298" s="420" t="s">
        <v>849</v>
      </c>
      <c r="K298" s="421">
        <f t="shared" si="24"/>
        <v>2600</v>
      </c>
      <c r="M298" s="421">
        <v>2600</v>
      </c>
    </row>
    <row r="299" spans="1:16" x14ac:dyDescent="0.3">
      <c r="A299" s="420">
        <v>3</v>
      </c>
      <c r="C299" s="420">
        <f t="shared" si="20"/>
        <v>36</v>
      </c>
      <c r="D299" s="420">
        <f t="shared" si="21"/>
        <v>27</v>
      </c>
      <c r="E299" s="420">
        <f t="shared" si="22"/>
        <v>16</v>
      </c>
      <c r="F299" s="420" t="str">
        <f t="shared" si="23"/>
        <v>pm</v>
      </c>
      <c r="G299" s="420" t="s">
        <v>850</v>
      </c>
      <c r="H299" s="420" t="s">
        <v>224</v>
      </c>
      <c r="I299" s="420" t="s">
        <v>851</v>
      </c>
      <c r="K299" s="421">
        <f t="shared" si="24"/>
        <v>2600</v>
      </c>
      <c r="M299" s="421">
        <v>2600</v>
      </c>
    </row>
    <row r="300" spans="1:16" x14ac:dyDescent="0.3">
      <c r="A300" s="420">
        <v>2</v>
      </c>
      <c r="C300" s="420">
        <f t="shared" si="20"/>
        <v>37</v>
      </c>
      <c r="D300" s="420">
        <f t="shared" si="21"/>
        <v>37</v>
      </c>
      <c r="E300" s="420">
        <f t="shared" si="22"/>
        <v>16</v>
      </c>
      <c r="F300" s="420" t="str">
        <f t="shared" si="23"/>
        <v>pm</v>
      </c>
      <c r="G300" s="420" t="s">
        <v>852</v>
      </c>
      <c r="H300" s="420" t="s">
        <v>215</v>
      </c>
      <c r="I300" s="420" t="s">
        <v>853</v>
      </c>
      <c r="K300" s="421">
        <f t="shared" si="24"/>
        <v>2619.4647988942984</v>
      </c>
      <c r="M300" s="421">
        <v>2600</v>
      </c>
      <c r="P300" s="420">
        <v>2619.4647988942984</v>
      </c>
    </row>
    <row r="301" spans="1:16" x14ac:dyDescent="0.3">
      <c r="A301" s="420">
        <v>1</v>
      </c>
      <c r="C301" s="420">
        <f t="shared" si="20"/>
        <v>38</v>
      </c>
      <c r="D301" s="420">
        <f t="shared" si="21"/>
        <v>38</v>
      </c>
      <c r="E301" s="420">
        <f t="shared" si="22"/>
        <v>16</v>
      </c>
      <c r="F301" s="420" t="str">
        <f t="shared" si="23"/>
        <v>gex</v>
      </c>
      <c r="G301" s="420" t="s">
        <v>854</v>
      </c>
      <c r="H301" s="420" t="s">
        <v>843</v>
      </c>
      <c r="I301" s="420" t="s">
        <v>855</v>
      </c>
      <c r="K301" s="421">
        <f t="shared" si="24"/>
        <v>2600</v>
      </c>
      <c r="M301" s="421">
        <v>2600</v>
      </c>
    </row>
    <row r="302" spans="1:16" x14ac:dyDescent="0.3">
      <c r="A302" s="420">
        <v>6</v>
      </c>
      <c r="C302" s="420">
        <f t="shared" si="20"/>
        <v>39</v>
      </c>
      <c r="D302" s="420">
        <f t="shared" si="21"/>
        <v>39</v>
      </c>
      <c r="E302" s="420">
        <f t="shared" si="22"/>
        <v>16</v>
      </c>
      <c r="F302" s="420" t="str">
        <f t="shared" si="23"/>
        <v>pm</v>
      </c>
      <c r="G302" s="420" t="s">
        <v>856</v>
      </c>
      <c r="H302" s="420" t="s">
        <v>224</v>
      </c>
      <c r="I302" s="420" t="s">
        <v>857</v>
      </c>
      <c r="K302" s="421">
        <f t="shared" si="24"/>
        <v>2506.500676192396</v>
      </c>
      <c r="M302" s="421">
        <v>2533.3333333333335</v>
      </c>
      <c r="O302" s="420">
        <v>2506.500676192396</v>
      </c>
    </row>
    <row r="303" spans="1:16" x14ac:dyDescent="0.3">
      <c r="A303" s="420">
        <v>4</v>
      </c>
      <c r="C303" s="420">
        <f t="shared" si="20"/>
        <v>40</v>
      </c>
      <c r="D303" s="420">
        <f t="shared" si="21"/>
        <v>40</v>
      </c>
      <c r="E303" s="420">
        <f t="shared" si="22"/>
        <v>16</v>
      </c>
      <c r="F303" s="420" t="str">
        <f t="shared" si="23"/>
        <v>pm</v>
      </c>
      <c r="G303" s="420" t="s">
        <v>858</v>
      </c>
      <c r="H303" s="420" t="s">
        <v>527</v>
      </c>
      <c r="I303" s="420" t="s">
        <v>859</v>
      </c>
      <c r="K303" s="421">
        <f t="shared" si="24"/>
        <v>2435.5218465919183</v>
      </c>
      <c r="M303" s="421">
        <v>2500</v>
      </c>
      <c r="N303" s="420">
        <v>2435.5218465919183</v>
      </c>
    </row>
    <row r="304" spans="1:16" x14ac:dyDescent="0.3">
      <c r="A304" s="420">
        <v>3</v>
      </c>
      <c r="C304" s="420">
        <f t="shared" si="20"/>
        <v>41</v>
      </c>
      <c r="D304" s="420">
        <f t="shared" si="21"/>
        <v>41</v>
      </c>
      <c r="E304" s="420">
        <f t="shared" si="22"/>
        <v>16</v>
      </c>
      <c r="F304" s="420" t="str">
        <f t="shared" si="23"/>
        <v>pm</v>
      </c>
      <c r="G304" s="420" t="s">
        <v>860</v>
      </c>
      <c r="H304" s="420" t="s">
        <v>227</v>
      </c>
      <c r="I304" s="420" t="s">
        <v>861</v>
      </c>
      <c r="K304" s="421">
        <f t="shared" si="24"/>
        <v>2581.2018990502715</v>
      </c>
      <c r="M304" s="421">
        <v>2466.6666666666665</v>
      </c>
      <c r="P304" s="420">
        <v>2581.2018990502715</v>
      </c>
    </row>
    <row r="305" spans="1:16" x14ac:dyDescent="0.3">
      <c r="A305" s="420">
        <v>5</v>
      </c>
      <c r="C305" s="420">
        <f t="shared" si="20"/>
        <v>42</v>
      </c>
      <c r="D305" s="420">
        <f t="shared" si="21"/>
        <v>42</v>
      </c>
      <c r="E305" s="420">
        <f t="shared" si="22"/>
        <v>16</v>
      </c>
      <c r="F305" s="420" t="str">
        <f t="shared" si="23"/>
        <v>pm</v>
      </c>
      <c r="G305" s="420" t="s">
        <v>862</v>
      </c>
      <c r="H305" s="420" t="s">
        <v>264</v>
      </c>
      <c r="I305" s="420" t="s">
        <v>863</v>
      </c>
      <c r="K305" s="421">
        <f t="shared" si="24"/>
        <v>2451.2167880233792</v>
      </c>
      <c r="M305" s="421">
        <v>2440</v>
      </c>
      <c r="O305" s="420">
        <v>2451.2167880233792</v>
      </c>
    </row>
    <row r="306" spans="1:16" x14ac:dyDescent="0.3">
      <c r="A306" s="420">
        <v>2</v>
      </c>
      <c r="C306" s="420">
        <f t="shared" si="20"/>
        <v>43</v>
      </c>
      <c r="D306" s="420">
        <f t="shared" si="21"/>
        <v>43</v>
      </c>
      <c r="E306" s="420">
        <f t="shared" si="22"/>
        <v>16</v>
      </c>
      <c r="F306" s="420" t="str">
        <f t="shared" si="23"/>
        <v>pm</v>
      </c>
      <c r="G306" s="420" t="s">
        <v>864</v>
      </c>
      <c r="H306" s="420" t="s">
        <v>727</v>
      </c>
      <c r="I306" s="420" t="s">
        <v>865</v>
      </c>
      <c r="K306" s="421">
        <f t="shared" si="24"/>
        <v>2412.7691341746354</v>
      </c>
      <c r="M306" s="421">
        <v>2400</v>
      </c>
      <c r="N306" s="420">
        <v>2412.7691341746354</v>
      </c>
    </row>
    <row r="307" spans="1:16" x14ac:dyDescent="0.3">
      <c r="A307" s="420">
        <v>4</v>
      </c>
      <c r="C307" s="420">
        <f t="shared" si="20"/>
        <v>44</v>
      </c>
      <c r="D307" s="420">
        <f t="shared" si="21"/>
        <v>44</v>
      </c>
      <c r="E307" s="420">
        <f t="shared" si="22"/>
        <v>16</v>
      </c>
      <c r="F307" s="420" t="str">
        <f t="shared" si="23"/>
        <v>pm</v>
      </c>
      <c r="G307" s="420" t="s">
        <v>866</v>
      </c>
      <c r="H307" s="420" t="s">
        <v>352</v>
      </c>
      <c r="I307" s="420" t="s">
        <v>867</v>
      </c>
      <c r="K307" s="421">
        <f t="shared" si="24"/>
        <v>2398.7776442920149</v>
      </c>
      <c r="M307" s="421">
        <v>2400</v>
      </c>
      <c r="P307" s="420">
        <v>2398.7776442920149</v>
      </c>
    </row>
    <row r="308" spans="1:16" x14ac:dyDescent="0.3">
      <c r="A308" s="420">
        <v>2</v>
      </c>
      <c r="C308" s="420">
        <f t="shared" si="20"/>
        <v>45</v>
      </c>
      <c r="D308" s="420">
        <f t="shared" si="21"/>
        <v>45</v>
      </c>
      <c r="E308" s="420">
        <f t="shared" si="22"/>
        <v>16</v>
      </c>
      <c r="F308" s="420" t="str">
        <f t="shared" si="23"/>
        <v>pm</v>
      </c>
      <c r="G308" s="420" t="s">
        <v>868</v>
      </c>
      <c r="H308" s="420" t="s">
        <v>200</v>
      </c>
      <c r="I308" s="420" t="s">
        <v>869</v>
      </c>
      <c r="K308" s="421">
        <f t="shared" si="24"/>
        <v>2559.6004804126883</v>
      </c>
      <c r="M308" s="421">
        <v>2400</v>
      </c>
      <c r="P308" s="420">
        <v>2559.6004804126883</v>
      </c>
    </row>
    <row r="309" spans="1:16" x14ac:dyDescent="0.3">
      <c r="A309" s="420">
        <v>2</v>
      </c>
      <c r="C309" s="420">
        <f t="shared" si="20"/>
        <v>46</v>
      </c>
      <c r="D309" s="420">
        <f t="shared" si="21"/>
        <v>46</v>
      </c>
      <c r="E309" s="420">
        <f t="shared" si="22"/>
        <v>16</v>
      </c>
      <c r="F309" s="420" t="str">
        <f t="shared" si="23"/>
        <v>pm</v>
      </c>
      <c r="G309" s="420" t="s">
        <v>870</v>
      </c>
      <c r="H309" s="420" t="s">
        <v>227</v>
      </c>
      <c r="I309" s="420" t="s">
        <v>871</v>
      </c>
      <c r="K309" s="421">
        <f t="shared" si="24"/>
        <v>2400</v>
      </c>
      <c r="M309" s="421">
        <v>2400</v>
      </c>
    </row>
    <row r="310" spans="1:16" x14ac:dyDescent="0.3">
      <c r="A310" s="420">
        <v>2</v>
      </c>
      <c r="C310" s="420">
        <f t="shared" si="20"/>
        <v>47</v>
      </c>
      <c r="D310" s="420">
        <f t="shared" si="21"/>
        <v>46</v>
      </c>
      <c r="E310" s="420">
        <f t="shared" si="22"/>
        <v>16</v>
      </c>
      <c r="F310" s="420" t="str">
        <f t="shared" si="23"/>
        <v>so</v>
      </c>
      <c r="G310" s="420" t="s">
        <v>872</v>
      </c>
      <c r="H310" s="420" t="s">
        <v>696</v>
      </c>
      <c r="I310" s="420" t="s">
        <v>873</v>
      </c>
      <c r="K310" s="421">
        <f t="shared" si="24"/>
        <v>2400</v>
      </c>
      <c r="M310" s="421">
        <v>2400</v>
      </c>
    </row>
    <row r="311" spans="1:16" x14ac:dyDescent="0.3">
      <c r="A311" s="420">
        <v>5</v>
      </c>
      <c r="C311" s="420">
        <f t="shared" si="20"/>
        <v>48</v>
      </c>
      <c r="D311" s="420">
        <f t="shared" si="21"/>
        <v>48</v>
      </c>
      <c r="E311" s="420">
        <f t="shared" si="22"/>
        <v>16</v>
      </c>
      <c r="F311" s="420" t="str">
        <f t="shared" si="23"/>
        <v>pm</v>
      </c>
      <c r="G311" s="420" t="s">
        <v>874</v>
      </c>
      <c r="H311" s="420" t="s">
        <v>334</v>
      </c>
      <c r="I311" s="420" t="s">
        <v>875</v>
      </c>
      <c r="K311" s="421">
        <f t="shared" si="24"/>
        <v>2399.7073966884218</v>
      </c>
      <c r="M311" s="421">
        <v>2360</v>
      </c>
      <c r="N311" s="420">
        <v>2378.6478158384998</v>
      </c>
      <c r="P311" s="420">
        <v>2399.7073966884218</v>
      </c>
    </row>
    <row r="312" spans="1:16" x14ac:dyDescent="0.3">
      <c r="A312" s="420">
        <v>3</v>
      </c>
      <c r="C312" s="420">
        <f t="shared" si="20"/>
        <v>49</v>
      </c>
      <c r="D312" s="420">
        <f t="shared" si="21"/>
        <v>49</v>
      </c>
      <c r="E312" s="420">
        <f t="shared" si="22"/>
        <v>16</v>
      </c>
      <c r="F312" s="420" t="str">
        <f t="shared" si="23"/>
        <v>pm</v>
      </c>
      <c r="G312" s="420" t="s">
        <v>876</v>
      </c>
      <c r="H312" s="420" t="s">
        <v>727</v>
      </c>
      <c r="I312" s="420" t="s">
        <v>877</v>
      </c>
      <c r="K312" s="421">
        <f t="shared" si="24"/>
        <v>2350.4492194249574</v>
      </c>
      <c r="M312" s="421">
        <v>2333.3333333333335</v>
      </c>
      <c r="O312" s="420">
        <v>2350.4492194249574</v>
      </c>
    </row>
    <row r="313" spans="1:16" x14ac:dyDescent="0.3">
      <c r="A313" s="420">
        <v>3</v>
      </c>
      <c r="C313" s="420">
        <f t="shared" si="20"/>
        <v>50</v>
      </c>
      <c r="D313" s="420">
        <f t="shared" si="21"/>
        <v>50</v>
      </c>
      <c r="E313" s="420">
        <f t="shared" si="22"/>
        <v>16</v>
      </c>
      <c r="F313" s="420" t="str">
        <f t="shared" si="23"/>
        <v>pm</v>
      </c>
      <c r="G313" s="420" t="s">
        <v>878</v>
      </c>
      <c r="H313" s="420" t="s">
        <v>227</v>
      </c>
      <c r="I313" s="420" t="s">
        <v>879</v>
      </c>
      <c r="K313" s="421">
        <f t="shared" si="24"/>
        <v>2440.4966018677383</v>
      </c>
      <c r="M313" s="421">
        <v>2333.3333333333335</v>
      </c>
      <c r="P313" s="420">
        <v>2440.4966018677383</v>
      </c>
    </row>
    <row r="314" spans="1:16" x14ac:dyDescent="0.3">
      <c r="A314" s="420">
        <v>3</v>
      </c>
      <c r="C314" s="420">
        <f t="shared" si="20"/>
        <v>51</v>
      </c>
      <c r="D314" s="420">
        <f t="shared" si="21"/>
        <v>51</v>
      </c>
      <c r="E314" s="420">
        <f t="shared" si="22"/>
        <v>16</v>
      </c>
      <c r="F314" s="420" t="str">
        <f t="shared" si="23"/>
        <v>pm</v>
      </c>
      <c r="G314" s="420" t="s">
        <v>880</v>
      </c>
      <c r="H314" s="420" t="s">
        <v>227</v>
      </c>
      <c r="I314" s="420" t="s">
        <v>881</v>
      </c>
      <c r="K314" s="421">
        <f t="shared" si="24"/>
        <v>2348.2124168226542</v>
      </c>
      <c r="M314" s="421">
        <v>2333.3333333333335</v>
      </c>
      <c r="P314" s="420">
        <v>2348.2124168226542</v>
      </c>
    </row>
    <row r="315" spans="1:16" x14ac:dyDescent="0.3">
      <c r="A315" s="420">
        <v>5</v>
      </c>
      <c r="C315" s="420">
        <f t="shared" si="20"/>
        <v>52</v>
      </c>
      <c r="D315" s="420">
        <f t="shared" si="21"/>
        <v>52</v>
      </c>
      <c r="E315" s="420">
        <f t="shared" si="22"/>
        <v>16</v>
      </c>
      <c r="F315" s="420" t="str">
        <f t="shared" si="23"/>
        <v>pm</v>
      </c>
      <c r="G315" s="420" t="s">
        <v>882</v>
      </c>
      <c r="H315" s="420" t="s">
        <v>305</v>
      </c>
      <c r="I315" s="420" t="s">
        <v>883</v>
      </c>
      <c r="K315" s="421">
        <f t="shared" si="24"/>
        <v>2452.2858462021122</v>
      </c>
      <c r="M315" s="421">
        <v>2320</v>
      </c>
      <c r="N315" s="420">
        <v>2349.5946590373273</v>
      </c>
      <c r="P315" s="420">
        <v>2452.2858462021122</v>
      </c>
    </row>
    <row r="316" spans="1:16" x14ac:dyDescent="0.3">
      <c r="A316" s="420">
        <v>4</v>
      </c>
      <c r="C316" s="420">
        <f t="shared" si="20"/>
        <v>53</v>
      </c>
      <c r="D316" s="420">
        <f t="shared" si="21"/>
        <v>53</v>
      </c>
      <c r="E316" s="420">
        <f t="shared" si="22"/>
        <v>16</v>
      </c>
      <c r="F316" s="420" t="str">
        <f t="shared" si="23"/>
        <v>pm</v>
      </c>
      <c r="G316" s="420" t="s">
        <v>884</v>
      </c>
      <c r="H316" s="420" t="s">
        <v>283</v>
      </c>
      <c r="I316" s="420" t="s">
        <v>885</v>
      </c>
      <c r="K316" s="421">
        <f t="shared" si="24"/>
        <v>2351.0771552233873</v>
      </c>
      <c r="M316" s="421">
        <v>2300</v>
      </c>
      <c r="P316" s="420">
        <v>2351.0771552233873</v>
      </c>
    </row>
    <row r="317" spans="1:16" x14ac:dyDescent="0.3">
      <c r="A317" s="420">
        <v>4</v>
      </c>
      <c r="C317" s="420">
        <f t="shared" si="20"/>
        <v>54</v>
      </c>
      <c r="D317" s="420">
        <f t="shared" si="21"/>
        <v>54</v>
      </c>
      <c r="E317" s="420">
        <f t="shared" si="22"/>
        <v>16</v>
      </c>
      <c r="F317" s="420" t="str">
        <f t="shared" si="23"/>
        <v>pm</v>
      </c>
      <c r="G317" s="420" t="s">
        <v>886</v>
      </c>
      <c r="H317" s="420" t="s">
        <v>491</v>
      </c>
      <c r="I317" s="420" t="s">
        <v>887</v>
      </c>
      <c r="K317" s="421">
        <f t="shared" si="24"/>
        <v>2228.6080523393039</v>
      </c>
      <c r="M317" s="421">
        <v>2300</v>
      </c>
      <c r="N317" s="420">
        <v>2240.5536622425197</v>
      </c>
      <c r="P317" s="420">
        <v>2228.6080523393039</v>
      </c>
    </row>
    <row r="318" spans="1:16" x14ac:dyDescent="0.3">
      <c r="A318" s="420">
        <v>6</v>
      </c>
      <c r="C318" s="420">
        <f t="shared" si="20"/>
        <v>55</v>
      </c>
      <c r="D318" s="420">
        <f t="shared" si="21"/>
        <v>55</v>
      </c>
      <c r="E318" s="420">
        <f t="shared" si="22"/>
        <v>16</v>
      </c>
      <c r="F318" s="420" t="str">
        <f t="shared" si="23"/>
        <v>pm</v>
      </c>
      <c r="G318" s="420" t="s">
        <v>888</v>
      </c>
      <c r="H318" s="420" t="s">
        <v>539</v>
      </c>
      <c r="I318" s="420" t="s">
        <v>889</v>
      </c>
      <c r="K318" s="421">
        <f t="shared" si="24"/>
        <v>2282.9565164409532</v>
      </c>
      <c r="M318" s="421">
        <v>2266.6666666666665</v>
      </c>
      <c r="P318" s="420">
        <v>2282.9565164409532</v>
      </c>
    </row>
    <row r="319" spans="1:16" x14ac:dyDescent="0.3">
      <c r="A319" s="420">
        <v>6</v>
      </c>
      <c r="C319" s="420">
        <f t="shared" si="20"/>
        <v>56</v>
      </c>
      <c r="D319" s="420">
        <f t="shared" si="21"/>
        <v>56</v>
      </c>
      <c r="E319" s="420">
        <f t="shared" si="22"/>
        <v>16</v>
      </c>
      <c r="F319" s="420" t="str">
        <f t="shared" si="23"/>
        <v>pm</v>
      </c>
      <c r="G319" s="420" t="s">
        <v>890</v>
      </c>
      <c r="H319" s="420" t="s">
        <v>891</v>
      </c>
      <c r="I319" s="420" t="s">
        <v>892</v>
      </c>
      <c r="K319" s="421">
        <f t="shared" si="24"/>
        <v>2266.6337502919241</v>
      </c>
      <c r="M319" s="421">
        <v>2200</v>
      </c>
      <c r="N319" s="420">
        <v>2177.6728316862236</v>
      </c>
      <c r="P319" s="420">
        <v>2266.6337502919241</v>
      </c>
    </row>
    <row r="320" spans="1:16" x14ac:dyDescent="0.3">
      <c r="A320" s="420">
        <v>2</v>
      </c>
      <c r="C320" s="420">
        <f t="shared" si="20"/>
        <v>57</v>
      </c>
      <c r="D320" s="420">
        <f t="shared" si="21"/>
        <v>57</v>
      </c>
      <c r="E320" s="420">
        <f t="shared" si="22"/>
        <v>16</v>
      </c>
      <c r="F320" s="420" t="str">
        <f t="shared" si="23"/>
        <v>pm</v>
      </c>
      <c r="G320" s="420" t="s">
        <v>893</v>
      </c>
      <c r="H320" s="420" t="s">
        <v>240</v>
      </c>
      <c r="I320" s="420" t="s">
        <v>894</v>
      </c>
      <c r="K320" s="421">
        <f t="shared" si="24"/>
        <v>2200</v>
      </c>
      <c r="M320" s="421">
        <v>2200</v>
      </c>
    </row>
    <row r="321" spans="1:16" x14ac:dyDescent="0.3">
      <c r="A321" s="420">
        <v>4</v>
      </c>
      <c r="C321" s="420">
        <f t="shared" si="20"/>
        <v>58</v>
      </c>
      <c r="D321" s="420">
        <f t="shared" si="21"/>
        <v>58</v>
      </c>
      <c r="E321" s="420">
        <f t="shared" si="22"/>
        <v>16</v>
      </c>
      <c r="F321" s="420" t="str">
        <f t="shared" si="23"/>
        <v>pm</v>
      </c>
      <c r="G321" s="420" t="s">
        <v>895</v>
      </c>
      <c r="H321" s="420" t="s">
        <v>554</v>
      </c>
      <c r="I321" s="420" t="s">
        <v>896</v>
      </c>
      <c r="K321" s="421">
        <f t="shared" si="24"/>
        <v>2189.1224640919872</v>
      </c>
      <c r="M321" s="421">
        <v>2200</v>
      </c>
      <c r="P321" s="420">
        <v>2189.1224640919872</v>
      </c>
    </row>
    <row r="322" spans="1:16" x14ac:dyDescent="0.3">
      <c r="A322" s="420">
        <v>2</v>
      </c>
      <c r="C322" s="420">
        <f t="shared" ref="C322:C385" si="25">IF(E322=E321,C321+1,1)</f>
        <v>59</v>
      </c>
      <c r="D322" s="420">
        <f t="shared" ref="D322:D385" si="26">IF(K322=K321,D321,C322)</f>
        <v>59</v>
      </c>
      <c r="E322" s="420">
        <f t="shared" ref="E322:E385" si="27">10+VALUE(RIGHT(LEFT(G322,3),1))</f>
        <v>16</v>
      </c>
      <c r="F322" s="420" t="str">
        <f t="shared" ref="F322:F385" si="28">RIGHT(G322,2) &amp; IF(A322&lt;2,"x","")</f>
        <v>pm</v>
      </c>
      <c r="G322" s="420" t="s">
        <v>897</v>
      </c>
      <c r="H322" s="420" t="s">
        <v>250</v>
      </c>
      <c r="I322" s="420" t="s">
        <v>898</v>
      </c>
      <c r="K322" s="421">
        <f t="shared" ref="K322:K385" si="29">LOOKUP(1E+100,M322:AB322)</f>
        <v>2124.4926134098159</v>
      </c>
      <c r="M322" s="421">
        <v>2200</v>
      </c>
      <c r="N322" s="420">
        <v>2124.4926134098159</v>
      </c>
    </row>
    <row r="323" spans="1:16" x14ac:dyDescent="0.3">
      <c r="A323" s="420">
        <v>5</v>
      </c>
      <c r="C323" s="420">
        <f t="shared" si="25"/>
        <v>60</v>
      </c>
      <c r="D323" s="420">
        <f t="shared" si="26"/>
        <v>60</v>
      </c>
      <c r="E323" s="420">
        <f t="shared" si="27"/>
        <v>16</v>
      </c>
      <c r="F323" s="420" t="str">
        <f t="shared" si="28"/>
        <v>pm</v>
      </c>
      <c r="G323" s="420" t="s">
        <v>899</v>
      </c>
      <c r="H323" s="420" t="s">
        <v>256</v>
      </c>
      <c r="I323" s="420" t="s">
        <v>900</v>
      </c>
      <c r="K323" s="421">
        <f t="shared" si="29"/>
        <v>2246.0256926694246</v>
      </c>
      <c r="M323" s="421">
        <v>2200</v>
      </c>
      <c r="N323" s="420">
        <v>2160.485456451649</v>
      </c>
      <c r="P323" s="420">
        <v>2246.0256926694246</v>
      </c>
    </row>
    <row r="324" spans="1:16" x14ac:dyDescent="0.3">
      <c r="A324" s="420">
        <v>7</v>
      </c>
      <c r="C324" s="420">
        <f t="shared" si="25"/>
        <v>61</v>
      </c>
      <c r="D324" s="420">
        <f t="shared" si="26"/>
        <v>61</v>
      </c>
      <c r="E324" s="420">
        <f t="shared" si="27"/>
        <v>16</v>
      </c>
      <c r="F324" s="420" t="str">
        <f t="shared" si="28"/>
        <v>pm</v>
      </c>
      <c r="G324" s="420" t="s">
        <v>901</v>
      </c>
      <c r="H324" s="420" t="s">
        <v>261</v>
      </c>
      <c r="I324" s="420" t="s">
        <v>902</v>
      </c>
      <c r="K324" s="421">
        <f t="shared" si="29"/>
        <v>2131.4347293190935</v>
      </c>
      <c r="M324" s="421">
        <v>2200</v>
      </c>
      <c r="N324" s="420">
        <v>2166.6305951950408</v>
      </c>
      <c r="P324" s="420">
        <v>2131.4347293190935</v>
      </c>
    </row>
    <row r="325" spans="1:16" x14ac:dyDescent="0.3">
      <c r="A325" s="420">
        <v>6</v>
      </c>
      <c r="C325" s="420">
        <f t="shared" si="25"/>
        <v>62</v>
      </c>
      <c r="D325" s="420">
        <f t="shared" si="26"/>
        <v>62</v>
      </c>
      <c r="E325" s="420">
        <f t="shared" si="27"/>
        <v>16</v>
      </c>
      <c r="F325" s="420" t="str">
        <f t="shared" si="28"/>
        <v>pm</v>
      </c>
      <c r="G325" s="420" t="s">
        <v>903</v>
      </c>
      <c r="H325" s="420" t="s">
        <v>264</v>
      </c>
      <c r="I325" s="420" t="s">
        <v>904</v>
      </c>
      <c r="K325" s="421">
        <f t="shared" si="29"/>
        <v>2137.3159746233223</v>
      </c>
      <c r="M325" s="421">
        <v>2200</v>
      </c>
      <c r="P325" s="420">
        <v>2137.3159746233223</v>
      </c>
    </row>
    <row r="326" spans="1:16" x14ac:dyDescent="0.3">
      <c r="A326" s="420">
        <v>4</v>
      </c>
      <c r="C326" s="420">
        <f t="shared" si="25"/>
        <v>63</v>
      </c>
      <c r="D326" s="420">
        <f t="shared" si="26"/>
        <v>63</v>
      </c>
      <c r="E326" s="420">
        <f t="shared" si="27"/>
        <v>16</v>
      </c>
      <c r="F326" s="420" t="str">
        <f t="shared" si="28"/>
        <v>pm</v>
      </c>
      <c r="G326" s="420" t="s">
        <v>905</v>
      </c>
      <c r="H326" s="420" t="s">
        <v>273</v>
      </c>
      <c r="I326" s="420" t="s">
        <v>906</v>
      </c>
      <c r="K326" s="421">
        <f t="shared" si="29"/>
        <v>2171.5338221361626</v>
      </c>
      <c r="M326" s="421">
        <v>2200</v>
      </c>
      <c r="P326" s="420">
        <v>2171.5338221361626</v>
      </c>
    </row>
    <row r="327" spans="1:16" x14ac:dyDescent="0.3">
      <c r="A327" s="420">
        <v>7</v>
      </c>
      <c r="C327" s="420">
        <f t="shared" si="25"/>
        <v>64</v>
      </c>
      <c r="D327" s="420">
        <f t="shared" si="26"/>
        <v>64</v>
      </c>
      <c r="E327" s="420">
        <f t="shared" si="27"/>
        <v>16</v>
      </c>
      <c r="F327" s="420" t="str">
        <f t="shared" si="28"/>
        <v>pm</v>
      </c>
      <c r="G327" s="420" t="s">
        <v>907</v>
      </c>
      <c r="H327" s="420" t="s">
        <v>278</v>
      </c>
      <c r="I327" s="420" t="s">
        <v>908</v>
      </c>
      <c r="K327" s="421">
        <f t="shared" si="29"/>
        <v>2162.529492486251</v>
      </c>
      <c r="M327" s="421">
        <v>2200</v>
      </c>
      <c r="N327" s="420">
        <v>2142.8617667366602</v>
      </c>
      <c r="P327" s="420">
        <v>2162.529492486251</v>
      </c>
    </row>
    <row r="328" spans="1:16" x14ac:dyDescent="0.3">
      <c r="A328" s="420">
        <v>5</v>
      </c>
      <c r="C328" s="420">
        <f t="shared" si="25"/>
        <v>65</v>
      </c>
      <c r="D328" s="420">
        <f t="shared" si="26"/>
        <v>65</v>
      </c>
      <c r="E328" s="420">
        <f t="shared" si="27"/>
        <v>16</v>
      </c>
      <c r="F328" s="420" t="str">
        <f t="shared" si="28"/>
        <v>pm</v>
      </c>
      <c r="G328" s="420" t="s">
        <v>909</v>
      </c>
      <c r="H328" s="420" t="s">
        <v>437</v>
      </c>
      <c r="I328" s="420" t="s">
        <v>910</v>
      </c>
      <c r="K328" s="421">
        <f t="shared" si="29"/>
        <v>2163.4233364273991</v>
      </c>
      <c r="M328" s="421">
        <v>2200</v>
      </c>
      <c r="P328" s="420">
        <v>2163.4233364273991</v>
      </c>
    </row>
    <row r="329" spans="1:16" x14ac:dyDescent="0.3">
      <c r="A329" s="420">
        <v>5</v>
      </c>
      <c r="C329" s="420">
        <f t="shared" si="25"/>
        <v>66</v>
      </c>
      <c r="D329" s="420">
        <f t="shared" si="26"/>
        <v>66</v>
      </c>
      <c r="E329" s="420">
        <f t="shared" si="27"/>
        <v>16</v>
      </c>
      <c r="F329" s="420" t="str">
        <f t="shared" si="28"/>
        <v>pm</v>
      </c>
      <c r="G329" s="420" t="s">
        <v>911</v>
      </c>
      <c r="H329" s="420" t="s">
        <v>437</v>
      </c>
      <c r="I329" s="420" t="s">
        <v>912</v>
      </c>
      <c r="K329" s="421">
        <f t="shared" si="29"/>
        <v>2120.6626175619003</v>
      </c>
      <c r="M329" s="421">
        <v>2200</v>
      </c>
      <c r="P329" s="420">
        <v>2120.6626175619003</v>
      </c>
    </row>
    <row r="330" spans="1:16" x14ac:dyDescent="0.3">
      <c r="A330" s="420">
        <v>2</v>
      </c>
      <c r="C330" s="420">
        <f t="shared" si="25"/>
        <v>67</v>
      </c>
      <c r="D330" s="420">
        <f t="shared" si="26"/>
        <v>67</v>
      </c>
      <c r="E330" s="420">
        <f t="shared" si="27"/>
        <v>16</v>
      </c>
      <c r="F330" s="420" t="str">
        <f t="shared" si="28"/>
        <v>pm</v>
      </c>
      <c r="G330" s="420" t="s">
        <v>913</v>
      </c>
      <c r="H330" s="420" t="s">
        <v>527</v>
      </c>
      <c r="I330" s="420" t="s">
        <v>914</v>
      </c>
      <c r="K330" s="421">
        <f t="shared" si="29"/>
        <v>2200</v>
      </c>
      <c r="M330" s="421">
        <v>2200</v>
      </c>
    </row>
    <row r="331" spans="1:16" x14ac:dyDescent="0.3">
      <c r="A331" s="420">
        <v>1</v>
      </c>
      <c r="C331" s="420">
        <f t="shared" si="25"/>
        <v>68</v>
      </c>
      <c r="D331" s="420">
        <f t="shared" si="26"/>
        <v>67</v>
      </c>
      <c r="E331" s="420">
        <f t="shared" si="27"/>
        <v>16</v>
      </c>
      <c r="F331" s="420" t="str">
        <f t="shared" si="28"/>
        <v>crx</v>
      </c>
      <c r="G331" s="420" t="s">
        <v>915</v>
      </c>
      <c r="H331" s="420" t="s">
        <v>612</v>
      </c>
      <c r="I331" s="420" t="s">
        <v>916</v>
      </c>
      <c r="K331" s="421">
        <f t="shared" si="29"/>
        <v>2200</v>
      </c>
      <c r="M331" s="421">
        <v>2200</v>
      </c>
    </row>
    <row r="332" spans="1:16" x14ac:dyDescent="0.3">
      <c r="A332" s="420">
        <v>1</v>
      </c>
      <c r="C332" s="420">
        <f t="shared" si="25"/>
        <v>69</v>
      </c>
      <c r="D332" s="420">
        <f t="shared" si="26"/>
        <v>67</v>
      </c>
      <c r="E332" s="420">
        <f t="shared" si="27"/>
        <v>16</v>
      </c>
      <c r="F332" s="420" t="str">
        <f t="shared" si="28"/>
        <v>crx</v>
      </c>
      <c r="G332" s="420" t="s">
        <v>917</v>
      </c>
      <c r="H332" s="420" t="s">
        <v>918</v>
      </c>
      <c r="I332" s="420" t="s">
        <v>919</v>
      </c>
      <c r="K332" s="421">
        <f t="shared" si="29"/>
        <v>2200</v>
      </c>
      <c r="M332" s="421">
        <v>2200</v>
      </c>
    </row>
    <row r="333" spans="1:16" x14ac:dyDescent="0.3">
      <c r="A333" s="420">
        <v>1</v>
      </c>
      <c r="C333" s="420">
        <f t="shared" si="25"/>
        <v>70</v>
      </c>
      <c r="D333" s="420">
        <f t="shared" si="26"/>
        <v>67</v>
      </c>
      <c r="E333" s="420">
        <f t="shared" si="27"/>
        <v>16</v>
      </c>
      <c r="F333" s="420" t="str">
        <f t="shared" si="28"/>
        <v>crx</v>
      </c>
      <c r="G333" s="420" t="s">
        <v>920</v>
      </c>
      <c r="H333" s="420" t="s">
        <v>921</v>
      </c>
      <c r="I333" s="420" t="s">
        <v>922</v>
      </c>
      <c r="K333" s="421">
        <f t="shared" si="29"/>
        <v>2200</v>
      </c>
      <c r="M333" s="421">
        <v>2200</v>
      </c>
    </row>
    <row r="334" spans="1:16" x14ac:dyDescent="0.3">
      <c r="A334" s="420">
        <v>3</v>
      </c>
      <c r="C334" s="420">
        <f t="shared" si="25"/>
        <v>71</v>
      </c>
      <c r="D334" s="420">
        <f t="shared" si="26"/>
        <v>67</v>
      </c>
      <c r="E334" s="420">
        <f t="shared" si="27"/>
        <v>16</v>
      </c>
      <c r="F334" s="420" t="str">
        <f t="shared" si="28"/>
        <v>cr</v>
      </c>
      <c r="G334" s="420" t="s">
        <v>923</v>
      </c>
      <c r="H334" s="420" t="s">
        <v>448</v>
      </c>
      <c r="I334" s="420" t="s">
        <v>924</v>
      </c>
      <c r="K334" s="421">
        <f t="shared" si="29"/>
        <v>2200</v>
      </c>
      <c r="M334" s="421">
        <v>2200</v>
      </c>
    </row>
    <row r="335" spans="1:16" x14ac:dyDescent="0.3">
      <c r="A335" s="420">
        <v>3</v>
      </c>
      <c r="C335" s="420">
        <f t="shared" si="25"/>
        <v>72</v>
      </c>
      <c r="D335" s="420">
        <f t="shared" si="26"/>
        <v>72</v>
      </c>
      <c r="E335" s="420">
        <f t="shared" si="27"/>
        <v>16</v>
      </c>
      <c r="F335" s="420" t="str">
        <f t="shared" si="28"/>
        <v>cr</v>
      </c>
      <c r="G335" s="420" t="s">
        <v>925</v>
      </c>
      <c r="H335" s="420" t="s">
        <v>624</v>
      </c>
      <c r="I335" s="420" t="s">
        <v>926</v>
      </c>
      <c r="K335" s="421">
        <f t="shared" si="29"/>
        <v>2240.5106942467469</v>
      </c>
      <c r="M335" s="421">
        <v>2200</v>
      </c>
      <c r="N335" s="420">
        <v>2240.5106942467469</v>
      </c>
    </row>
    <row r="336" spans="1:16" x14ac:dyDescent="0.3">
      <c r="A336" s="420">
        <v>2</v>
      </c>
      <c r="C336" s="420">
        <f t="shared" si="25"/>
        <v>73</v>
      </c>
      <c r="D336" s="420">
        <f t="shared" si="26"/>
        <v>73</v>
      </c>
      <c r="E336" s="420">
        <f t="shared" si="27"/>
        <v>16</v>
      </c>
      <c r="F336" s="420" t="str">
        <f t="shared" si="28"/>
        <v>so</v>
      </c>
      <c r="G336" s="420" t="s">
        <v>927</v>
      </c>
      <c r="H336" s="420" t="s">
        <v>453</v>
      </c>
      <c r="I336" s="420" t="s">
        <v>928</v>
      </c>
      <c r="K336" s="421">
        <f t="shared" si="29"/>
        <v>2200</v>
      </c>
      <c r="M336" s="421">
        <v>2200</v>
      </c>
    </row>
    <row r="337" spans="1:16" x14ac:dyDescent="0.3">
      <c r="A337" s="420">
        <v>2</v>
      </c>
      <c r="C337" s="420">
        <f t="shared" si="25"/>
        <v>74</v>
      </c>
      <c r="D337" s="420">
        <f t="shared" si="26"/>
        <v>73</v>
      </c>
      <c r="E337" s="420">
        <f t="shared" si="27"/>
        <v>16</v>
      </c>
      <c r="F337" s="420" t="str">
        <f t="shared" si="28"/>
        <v>so</v>
      </c>
      <c r="G337" s="420" t="s">
        <v>929</v>
      </c>
      <c r="H337" s="420" t="s">
        <v>696</v>
      </c>
      <c r="I337" s="420" t="s">
        <v>930</v>
      </c>
      <c r="K337" s="421">
        <f t="shared" si="29"/>
        <v>2200</v>
      </c>
      <c r="M337" s="421">
        <v>2200</v>
      </c>
    </row>
    <row r="338" spans="1:16" x14ac:dyDescent="0.3">
      <c r="A338" s="420">
        <v>4</v>
      </c>
      <c r="C338" s="420">
        <f t="shared" si="25"/>
        <v>1</v>
      </c>
      <c r="D338" s="420">
        <f t="shared" si="26"/>
        <v>1</v>
      </c>
      <c r="E338" s="420">
        <f t="shared" si="27"/>
        <v>17</v>
      </c>
      <c r="F338" s="420" t="str">
        <f t="shared" si="28"/>
        <v>pm</v>
      </c>
      <c r="G338" s="420" t="s">
        <v>931</v>
      </c>
      <c r="H338" s="420" t="s">
        <v>243</v>
      </c>
      <c r="I338" s="420" t="s">
        <v>932</v>
      </c>
      <c r="K338" s="421">
        <f t="shared" si="29"/>
        <v>2728.6666577006049</v>
      </c>
      <c r="M338" s="421">
        <v>2800</v>
      </c>
      <c r="P338" s="420">
        <v>2728.6666577006049</v>
      </c>
    </row>
    <row r="339" spans="1:16" x14ac:dyDescent="0.3">
      <c r="A339" s="420">
        <v>5</v>
      </c>
      <c r="C339" s="420">
        <f t="shared" si="25"/>
        <v>2</v>
      </c>
      <c r="D339" s="420">
        <f t="shared" si="26"/>
        <v>2</v>
      </c>
      <c r="E339" s="420">
        <f t="shared" si="27"/>
        <v>17</v>
      </c>
      <c r="F339" s="420" t="str">
        <f t="shared" si="28"/>
        <v>pm</v>
      </c>
      <c r="G339" s="420" t="s">
        <v>933</v>
      </c>
      <c r="H339" s="420" t="s">
        <v>261</v>
      </c>
      <c r="I339" s="420" t="s">
        <v>934</v>
      </c>
      <c r="K339" s="421">
        <f t="shared" si="29"/>
        <v>2844.0129082224389</v>
      </c>
      <c r="M339" s="421">
        <v>2800</v>
      </c>
      <c r="P339" s="420">
        <v>2844.0129082224389</v>
      </c>
    </row>
    <row r="340" spans="1:16" x14ac:dyDescent="0.3">
      <c r="A340" s="420">
        <v>7</v>
      </c>
      <c r="C340" s="420">
        <f t="shared" si="25"/>
        <v>3</v>
      </c>
      <c r="D340" s="420">
        <f t="shared" si="26"/>
        <v>3</v>
      </c>
      <c r="E340" s="420">
        <f t="shared" si="27"/>
        <v>17</v>
      </c>
      <c r="F340" s="420" t="str">
        <f t="shared" si="28"/>
        <v>pm</v>
      </c>
      <c r="G340" s="420" t="s">
        <v>935</v>
      </c>
      <c r="H340" s="420" t="s">
        <v>416</v>
      </c>
      <c r="I340" s="420" t="s">
        <v>936</v>
      </c>
      <c r="K340" s="421">
        <f t="shared" si="29"/>
        <v>2714.9188943519134</v>
      </c>
      <c r="M340" s="421">
        <v>2800</v>
      </c>
      <c r="O340" s="420">
        <v>2749.346112386957</v>
      </c>
      <c r="P340" s="420">
        <v>2714.9188943519134</v>
      </c>
    </row>
    <row r="341" spans="1:16" x14ac:dyDescent="0.3">
      <c r="A341" s="420">
        <v>5</v>
      </c>
      <c r="C341" s="420">
        <f t="shared" si="25"/>
        <v>4</v>
      </c>
      <c r="D341" s="420">
        <f t="shared" si="26"/>
        <v>4</v>
      </c>
      <c r="E341" s="420">
        <f t="shared" si="27"/>
        <v>17</v>
      </c>
      <c r="F341" s="420" t="str">
        <f t="shared" si="28"/>
        <v>pm</v>
      </c>
      <c r="G341" s="420" t="s">
        <v>937</v>
      </c>
      <c r="H341" s="420" t="s">
        <v>224</v>
      </c>
      <c r="I341" s="420" t="s">
        <v>938</v>
      </c>
      <c r="K341" s="421">
        <f t="shared" si="29"/>
        <v>2742.4478838984464</v>
      </c>
      <c r="M341" s="421">
        <v>2800</v>
      </c>
      <c r="O341" s="420">
        <v>2742.4478838984464</v>
      </c>
    </row>
    <row r="342" spans="1:16" x14ac:dyDescent="0.3">
      <c r="A342" s="420">
        <v>2</v>
      </c>
      <c r="C342" s="420">
        <f t="shared" si="25"/>
        <v>5</v>
      </c>
      <c r="D342" s="420">
        <f t="shared" si="26"/>
        <v>5</v>
      </c>
      <c r="E342" s="420">
        <f t="shared" si="27"/>
        <v>17</v>
      </c>
      <c r="F342" s="420" t="str">
        <f t="shared" si="28"/>
        <v>pm</v>
      </c>
      <c r="G342" s="420" t="s">
        <v>939</v>
      </c>
      <c r="H342" s="420" t="s">
        <v>663</v>
      </c>
      <c r="I342" s="420" t="s">
        <v>940</v>
      </c>
      <c r="K342" s="421">
        <f t="shared" si="29"/>
        <v>2800</v>
      </c>
      <c r="M342" s="421">
        <v>2800</v>
      </c>
    </row>
    <row r="343" spans="1:16" x14ac:dyDescent="0.3">
      <c r="A343" s="420">
        <v>2</v>
      </c>
      <c r="C343" s="420">
        <f t="shared" si="25"/>
        <v>6</v>
      </c>
      <c r="D343" s="420">
        <f t="shared" si="26"/>
        <v>6</v>
      </c>
      <c r="E343" s="420">
        <f t="shared" si="27"/>
        <v>17</v>
      </c>
      <c r="F343" s="420" t="str">
        <f t="shared" si="28"/>
        <v>pm</v>
      </c>
      <c r="G343" s="420" t="s">
        <v>941</v>
      </c>
      <c r="H343" s="420" t="s">
        <v>215</v>
      </c>
      <c r="I343" s="420" t="s">
        <v>942</v>
      </c>
      <c r="K343" s="421">
        <f t="shared" si="29"/>
        <v>2938.7757085360536</v>
      </c>
      <c r="M343" s="421">
        <v>2800</v>
      </c>
      <c r="P343" s="420">
        <v>2938.7757085360536</v>
      </c>
    </row>
    <row r="344" spans="1:16" x14ac:dyDescent="0.3">
      <c r="A344" s="420">
        <v>2</v>
      </c>
      <c r="C344" s="420">
        <f t="shared" si="25"/>
        <v>7</v>
      </c>
      <c r="D344" s="420">
        <f t="shared" si="26"/>
        <v>7</v>
      </c>
      <c r="E344" s="420">
        <f t="shared" si="27"/>
        <v>17</v>
      </c>
      <c r="F344" s="420" t="str">
        <f t="shared" si="28"/>
        <v>pm</v>
      </c>
      <c r="G344" s="420" t="s">
        <v>943</v>
      </c>
      <c r="H344" s="420" t="s">
        <v>288</v>
      </c>
      <c r="I344" s="420" t="s">
        <v>944</v>
      </c>
      <c r="K344" s="421">
        <f t="shared" si="29"/>
        <v>2800</v>
      </c>
      <c r="M344" s="421">
        <v>2800</v>
      </c>
    </row>
    <row r="345" spans="1:16" x14ac:dyDescent="0.3">
      <c r="A345" s="420">
        <v>5</v>
      </c>
      <c r="C345" s="420">
        <f t="shared" si="25"/>
        <v>8</v>
      </c>
      <c r="D345" s="420">
        <f t="shared" si="26"/>
        <v>8</v>
      </c>
      <c r="E345" s="420">
        <f t="shared" si="27"/>
        <v>17</v>
      </c>
      <c r="F345" s="420" t="str">
        <f t="shared" si="28"/>
        <v>pm</v>
      </c>
      <c r="G345" s="420" t="s">
        <v>945</v>
      </c>
      <c r="H345" s="420" t="s">
        <v>288</v>
      </c>
      <c r="I345" s="420" t="s">
        <v>946</v>
      </c>
      <c r="K345" s="421">
        <f t="shared" si="29"/>
        <v>2776.2225468947754</v>
      </c>
      <c r="M345" s="421">
        <v>2800</v>
      </c>
      <c r="O345" s="420">
        <v>2776.2225468947754</v>
      </c>
    </row>
    <row r="346" spans="1:16" x14ac:dyDescent="0.3">
      <c r="A346" s="420">
        <v>3</v>
      </c>
      <c r="C346" s="420">
        <f t="shared" si="25"/>
        <v>9</v>
      </c>
      <c r="D346" s="420">
        <f t="shared" si="26"/>
        <v>9</v>
      </c>
      <c r="E346" s="420">
        <f t="shared" si="27"/>
        <v>17</v>
      </c>
      <c r="F346" s="420" t="str">
        <f t="shared" si="28"/>
        <v>pm</v>
      </c>
      <c r="G346" s="420" t="s">
        <v>947</v>
      </c>
      <c r="H346" s="420" t="s">
        <v>221</v>
      </c>
      <c r="I346" s="420" t="s">
        <v>948</v>
      </c>
      <c r="K346" s="421">
        <f t="shared" si="29"/>
        <v>2800</v>
      </c>
      <c r="M346" s="421">
        <v>2800</v>
      </c>
    </row>
    <row r="347" spans="1:16" x14ac:dyDescent="0.3">
      <c r="A347" s="420">
        <v>2</v>
      </c>
      <c r="C347" s="420">
        <f t="shared" si="25"/>
        <v>10</v>
      </c>
      <c r="D347" s="420">
        <f t="shared" si="26"/>
        <v>10</v>
      </c>
      <c r="E347" s="420">
        <f t="shared" si="27"/>
        <v>17</v>
      </c>
      <c r="F347" s="420" t="str">
        <f t="shared" si="28"/>
        <v>cr</v>
      </c>
      <c r="G347" s="420" t="s">
        <v>949</v>
      </c>
      <c r="H347" s="420" t="s">
        <v>203</v>
      </c>
      <c r="I347" s="420" t="s">
        <v>950</v>
      </c>
      <c r="K347" s="421">
        <f t="shared" si="29"/>
        <v>2834.658355825698</v>
      </c>
      <c r="M347" s="421">
        <v>2800</v>
      </c>
      <c r="O347" s="420">
        <v>2834.658355825698</v>
      </c>
    </row>
    <row r="348" spans="1:16" x14ac:dyDescent="0.3">
      <c r="A348" s="420">
        <v>1</v>
      </c>
      <c r="C348" s="420">
        <f t="shared" si="25"/>
        <v>11</v>
      </c>
      <c r="D348" s="420">
        <f t="shared" si="26"/>
        <v>11</v>
      </c>
      <c r="E348" s="420">
        <f t="shared" si="27"/>
        <v>17</v>
      </c>
      <c r="F348" s="420" t="str">
        <f t="shared" si="28"/>
        <v>crx</v>
      </c>
      <c r="G348" s="420" t="s">
        <v>951</v>
      </c>
      <c r="H348" s="420" t="s">
        <v>372</v>
      </c>
      <c r="I348" s="420" t="s">
        <v>952</v>
      </c>
      <c r="K348" s="421">
        <f t="shared" si="29"/>
        <v>2800</v>
      </c>
      <c r="M348" s="421">
        <v>2800</v>
      </c>
    </row>
    <row r="349" spans="1:16" x14ac:dyDescent="0.3">
      <c r="A349" s="420">
        <v>1</v>
      </c>
      <c r="C349" s="420">
        <f t="shared" si="25"/>
        <v>12</v>
      </c>
      <c r="D349" s="420">
        <f t="shared" si="26"/>
        <v>11</v>
      </c>
      <c r="E349" s="420">
        <f t="shared" si="27"/>
        <v>17</v>
      </c>
      <c r="F349" s="420" t="str">
        <f t="shared" si="28"/>
        <v>sox</v>
      </c>
      <c r="G349" s="420" t="s">
        <v>953</v>
      </c>
      <c r="H349" s="420" t="s">
        <v>696</v>
      </c>
      <c r="I349" s="420" t="s">
        <v>954</v>
      </c>
      <c r="K349" s="421">
        <f t="shared" si="29"/>
        <v>2800</v>
      </c>
      <c r="M349" s="421">
        <v>2800</v>
      </c>
    </row>
    <row r="350" spans="1:16" x14ac:dyDescent="0.3">
      <c r="A350" s="420">
        <v>1</v>
      </c>
      <c r="C350" s="420">
        <f t="shared" si="25"/>
        <v>13</v>
      </c>
      <c r="D350" s="420">
        <f t="shared" si="26"/>
        <v>11</v>
      </c>
      <c r="E350" s="420">
        <f t="shared" si="27"/>
        <v>17</v>
      </c>
      <c r="F350" s="420" t="str">
        <f t="shared" si="28"/>
        <v>sox</v>
      </c>
      <c r="G350" s="420" t="s">
        <v>955</v>
      </c>
      <c r="H350" s="420" t="s">
        <v>696</v>
      </c>
      <c r="I350" s="420" t="s">
        <v>956</v>
      </c>
      <c r="K350" s="421">
        <f t="shared" si="29"/>
        <v>2800</v>
      </c>
      <c r="M350" s="421">
        <v>2800</v>
      </c>
    </row>
    <row r="351" spans="1:16" x14ac:dyDescent="0.3">
      <c r="A351" s="420">
        <v>2</v>
      </c>
      <c r="C351" s="420">
        <f t="shared" si="25"/>
        <v>14</v>
      </c>
      <c r="D351" s="420">
        <f t="shared" si="26"/>
        <v>11</v>
      </c>
      <c r="E351" s="420">
        <f t="shared" si="27"/>
        <v>17</v>
      </c>
      <c r="F351" s="420" t="str">
        <f t="shared" si="28"/>
        <v>pm</v>
      </c>
      <c r="G351" s="420" t="s">
        <v>957</v>
      </c>
      <c r="H351" s="420" t="s">
        <v>224</v>
      </c>
      <c r="I351" s="420" t="s">
        <v>958</v>
      </c>
      <c r="K351" s="421">
        <f t="shared" si="29"/>
        <v>2800</v>
      </c>
      <c r="M351" s="421">
        <v>2800</v>
      </c>
    </row>
    <row r="352" spans="1:16" x14ac:dyDescent="0.3">
      <c r="A352" s="420">
        <v>4</v>
      </c>
      <c r="C352" s="420">
        <f t="shared" si="25"/>
        <v>15</v>
      </c>
      <c r="D352" s="420">
        <f t="shared" si="26"/>
        <v>15</v>
      </c>
      <c r="E352" s="420">
        <f t="shared" si="27"/>
        <v>17</v>
      </c>
      <c r="F352" s="420" t="str">
        <f t="shared" si="28"/>
        <v>so</v>
      </c>
      <c r="G352" s="420" t="s">
        <v>959</v>
      </c>
      <c r="H352" s="420" t="s">
        <v>636</v>
      </c>
      <c r="I352" s="420" t="s">
        <v>960</v>
      </c>
      <c r="K352" s="421">
        <f t="shared" si="29"/>
        <v>2773.7981839155022</v>
      </c>
      <c r="M352" s="421">
        <v>2700</v>
      </c>
      <c r="O352" s="420">
        <v>2773.7981839155022</v>
      </c>
    </row>
    <row r="353" spans="1:16" x14ac:dyDescent="0.3">
      <c r="A353" s="420">
        <v>2</v>
      </c>
      <c r="C353" s="420">
        <f t="shared" si="25"/>
        <v>16</v>
      </c>
      <c r="D353" s="420">
        <f t="shared" si="26"/>
        <v>16</v>
      </c>
      <c r="E353" s="420">
        <f t="shared" si="27"/>
        <v>17</v>
      </c>
      <c r="F353" s="420" t="str">
        <f t="shared" si="28"/>
        <v>pm</v>
      </c>
      <c r="G353" s="420" t="s">
        <v>961</v>
      </c>
      <c r="H353" s="420" t="s">
        <v>727</v>
      </c>
      <c r="I353" s="420" t="s">
        <v>962</v>
      </c>
      <c r="K353" s="421">
        <f t="shared" si="29"/>
        <v>2649.6936331387928</v>
      </c>
      <c r="M353" s="421">
        <v>2600</v>
      </c>
      <c r="N353" s="420">
        <v>2649.6936331387928</v>
      </c>
    </row>
    <row r="354" spans="1:16" x14ac:dyDescent="0.3">
      <c r="A354" s="420">
        <v>6</v>
      </c>
      <c r="C354" s="420">
        <f t="shared" si="25"/>
        <v>17</v>
      </c>
      <c r="D354" s="420">
        <f t="shared" si="26"/>
        <v>17</v>
      </c>
      <c r="E354" s="420">
        <f t="shared" si="27"/>
        <v>17</v>
      </c>
      <c r="F354" s="420" t="str">
        <f t="shared" si="28"/>
        <v>pm</v>
      </c>
      <c r="G354" s="420" t="s">
        <v>963</v>
      </c>
      <c r="H354" s="420" t="s">
        <v>539</v>
      </c>
      <c r="I354" s="420" t="s">
        <v>964</v>
      </c>
      <c r="K354" s="421">
        <f t="shared" si="29"/>
        <v>2603.5447609677722</v>
      </c>
      <c r="M354" s="421">
        <v>2600</v>
      </c>
      <c r="P354" s="420">
        <v>2603.5447609677722</v>
      </c>
    </row>
    <row r="355" spans="1:16" x14ac:dyDescent="0.3">
      <c r="A355" s="420">
        <v>2</v>
      </c>
      <c r="C355" s="420">
        <f t="shared" si="25"/>
        <v>18</v>
      </c>
      <c r="D355" s="420">
        <f t="shared" si="26"/>
        <v>18</v>
      </c>
      <c r="E355" s="420">
        <f t="shared" si="27"/>
        <v>17</v>
      </c>
      <c r="F355" s="420" t="str">
        <f t="shared" si="28"/>
        <v>pm</v>
      </c>
      <c r="G355" s="420" t="s">
        <v>965</v>
      </c>
      <c r="H355" s="420" t="s">
        <v>227</v>
      </c>
      <c r="I355" s="420" t="s">
        <v>966</v>
      </c>
      <c r="K355" s="421">
        <f t="shared" si="29"/>
        <v>2600</v>
      </c>
      <c r="M355" s="421">
        <v>2600</v>
      </c>
    </row>
    <row r="356" spans="1:16" x14ac:dyDescent="0.3">
      <c r="A356" s="420">
        <v>2</v>
      </c>
      <c r="C356" s="420">
        <f t="shared" si="25"/>
        <v>19</v>
      </c>
      <c r="D356" s="420">
        <f t="shared" si="26"/>
        <v>18</v>
      </c>
      <c r="E356" s="420">
        <f t="shared" si="27"/>
        <v>17</v>
      </c>
      <c r="F356" s="420" t="str">
        <f t="shared" si="28"/>
        <v>fl</v>
      </c>
      <c r="G356" s="420" t="s">
        <v>967</v>
      </c>
      <c r="H356" s="420" t="s">
        <v>724</v>
      </c>
      <c r="I356" s="420" t="s">
        <v>968</v>
      </c>
      <c r="K356" s="421">
        <f t="shared" si="29"/>
        <v>2600</v>
      </c>
      <c r="M356" s="421">
        <v>2600</v>
      </c>
    </row>
    <row r="357" spans="1:16" x14ac:dyDescent="0.3">
      <c r="A357" s="420">
        <v>3</v>
      </c>
      <c r="C357" s="420">
        <f t="shared" si="25"/>
        <v>20</v>
      </c>
      <c r="D357" s="420">
        <f t="shared" si="26"/>
        <v>20</v>
      </c>
      <c r="E357" s="420">
        <f t="shared" si="27"/>
        <v>17</v>
      </c>
      <c r="F357" s="420" t="str">
        <f t="shared" si="28"/>
        <v>pm</v>
      </c>
      <c r="G357" s="420" t="s">
        <v>969</v>
      </c>
      <c r="H357" s="420" t="s">
        <v>534</v>
      </c>
      <c r="I357" s="420" t="s">
        <v>970</v>
      </c>
      <c r="K357" s="421">
        <f t="shared" si="29"/>
        <v>2533.3333333333335</v>
      </c>
      <c r="M357" s="421">
        <v>2533.3333333333335</v>
      </c>
    </row>
    <row r="358" spans="1:16" ht="16.2" customHeight="1" x14ac:dyDescent="0.3">
      <c r="A358" s="420">
        <v>6</v>
      </c>
      <c r="C358" s="420">
        <f t="shared" si="25"/>
        <v>21</v>
      </c>
      <c r="D358" s="420">
        <f t="shared" si="26"/>
        <v>21</v>
      </c>
      <c r="E358" s="420">
        <f t="shared" si="27"/>
        <v>17</v>
      </c>
      <c r="F358" s="420" t="str">
        <f t="shared" si="28"/>
        <v>pm</v>
      </c>
      <c r="G358" s="420" t="s">
        <v>971</v>
      </c>
      <c r="H358" s="420" t="s">
        <v>305</v>
      </c>
      <c r="I358" s="420" t="s">
        <v>972</v>
      </c>
      <c r="K358" s="421">
        <f t="shared" si="29"/>
        <v>2500.4482807265576</v>
      </c>
      <c r="M358" s="421">
        <v>2466.6666666666665</v>
      </c>
      <c r="N358" s="420">
        <v>2433.3004749481729</v>
      </c>
      <c r="P358" s="420">
        <v>2500.4482807265576</v>
      </c>
    </row>
    <row r="359" spans="1:16" x14ac:dyDescent="0.3">
      <c r="A359" s="420">
        <v>4</v>
      </c>
      <c r="C359" s="420">
        <f>IF(E359=E394,C394+1,1)</f>
        <v>1</v>
      </c>
      <c r="D359" s="420">
        <f>IF(K359=K394,D394,C359)</f>
        <v>1</v>
      </c>
      <c r="E359" s="420">
        <f t="shared" si="27"/>
        <v>17</v>
      </c>
      <c r="F359" s="420" t="str">
        <f t="shared" si="28"/>
        <v>pm</v>
      </c>
      <c r="G359" s="420" t="s">
        <v>973</v>
      </c>
      <c r="H359" s="420" t="s">
        <v>554</v>
      </c>
      <c r="I359" s="420" t="s">
        <v>974</v>
      </c>
      <c r="K359" s="421">
        <f t="shared" si="29"/>
        <v>2323.6703423752951</v>
      </c>
      <c r="M359" s="421">
        <v>2400</v>
      </c>
      <c r="N359" s="420">
        <v>2323.6703423752951</v>
      </c>
    </row>
    <row r="360" spans="1:16" x14ac:dyDescent="0.3">
      <c r="A360" s="420">
        <v>2</v>
      </c>
      <c r="C360" s="420">
        <f t="shared" si="25"/>
        <v>2</v>
      </c>
      <c r="D360" s="420">
        <f t="shared" si="26"/>
        <v>2</v>
      </c>
      <c r="E360" s="420">
        <f t="shared" si="27"/>
        <v>17</v>
      </c>
      <c r="F360" s="420" t="str">
        <f t="shared" si="28"/>
        <v>pm</v>
      </c>
      <c r="G360" s="420" t="s">
        <v>975</v>
      </c>
      <c r="H360" s="420" t="s">
        <v>250</v>
      </c>
      <c r="I360" s="420" t="s">
        <v>976</v>
      </c>
      <c r="K360" s="421">
        <f t="shared" si="29"/>
        <v>2443.9246853858785</v>
      </c>
      <c r="M360" s="421">
        <v>2400</v>
      </c>
      <c r="N360" s="420">
        <v>2443.9246853858785</v>
      </c>
    </row>
    <row r="361" spans="1:16" x14ac:dyDescent="0.3">
      <c r="A361" s="420">
        <v>4</v>
      </c>
      <c r="C361" s="420">
        <f t="shared" si="25"/>
        <v>3</v>
      </c>
      <c r="D361" s="420">
        <f t="shared" si="26"/>
        <v>3</v>
      </c>
      <c r="E361" s="420">
        <f t="shared" si="27"/>
        <v>17</v>
      </c>
      <c r="F361" s="420" t="str">
        <f t="shared" si="28"/>
        <v>pm</v>
      </c>
      <c r="G361" s="420" t="s">
        <v>977</v>
      </c>
      <c r="H361" s="420" t="s">
        <v>267</v>
      </c>
      <c r="I361" s="420" t="s">
        <v>978</v>
      </c>
      <c r="K361" s="421">
        <f t="shared" si="29"/>
        <v>2346.5420003592371</v>
      </c>
      <c r="M361" s="421">
        <v>2400</v>
      </c>
      <c r="N361" s="420">
        <v>2346.5420003592371</v>
      </c>
    </row>
    <row r="362" spans="1:16" x14ac:dyDescent="0.3">
      <c r="A362" s="420">
        <v>6</v>
      </c>
      <c r="C362" s="420">
        <f t="shared" si="25"/>
        <v>4</v>
      </c>
      <c r="D362" s="420">
        <f t="shared" si="26"/>
        <v>4</v>
      </c>
      <c r="E362" s="420">
        <f t="shared" si="27"/>
        <v>17</v>
      </c>
      <c r="F362" s="420" t="str">
        <f t="shared" si="28"/>
        <v>pm</v>
      </c>
      <c r="G362" s="420" t="s">
        <v>979</v>
      </c>
      <c r="H362" s="420" t="s">
        <v>224</v>
      </c>
      <c r="I362" s="420" t="s">
        <v>980</v>
      </c>
      <c r="K362" s="421">
        <f t="shared" si="29"/>
        <v>2355.1523846005416</v>
      </c>
      <c r="M362" s="421">
        <v>2400</v>
      </c>
      <c r="P362" s="420">
        <v>2355.1523846005416</v>
      </c>
    </row>
    <row r="363" spans="1:16" x14ac:dyDescent="0.3">
      <c r="A363" s="420">
        <v>2</v>
      </c>
      <c r="C363" s="420">
        <f t="shared" si="25"/>
        <v>5</v>
      </c>
      <c r="D363" s="420">
        <f t="shared" si="26"/>
        <v>5</v>
      </c>
      <c r="E363" s="420">
        <f t="shared" si="27"/>
        <v>17</v>
      </c>
      <c r="F363" s="420" t="str">
        <f t="shared" si="28"/>
        <v>pm</v>
      </c>
      <c r="G363" s="420" t="s">
        <v>981</v>
      </c>
      <c r="H363" s="420" t="s">
        <v>331</v>
      </c>
      <c r="I363" s="420" t="s">
        <v>982</v>
      </c>
      <c r="K363" s="421">
        <f t="shared" si="29"/>
        <v>2400</v>
      </c>
      <c r="M363" s="421">
        <v>2400</v>
      </c>
    </row>
    <row r="364" spans="1:16" x14ac:dyDescent="0.3">
      <c r="A364" s="420">
        <v>6</v>
      </c>
      <c r="C364" s="420">
        <f t="shared" si="25"/>
        <v>6</v>
      </c>
      <c r="D364" s="420">
        <f t="shared" si="26"/>
        <v>6</v>
      </c>
      <c r="E364" s="420">
        <f t="shared" si="27"/>
        <v>17</v>
      </c>
      <c r="F364" s="420" t="str">
        <f t="shared" si="28"/>
        <v>pm</v>
      </c>
      <c r="G364" s="420" t="s">
        <v>983</v>
      </c>
      <c r="H364" s="420" t="s">
        <v>288</v>
      </c>
      <c r="I364" s="420" t="s">
        <v>984</v>
      </c>
      <c r="K364" s="421">
        <f t="shared" si="29"/>
        <v>2442.0548160773888</v>
      </c>
      <c r="M364" s="421">
        <v>2400</v>
      </c>
      <c r="P364" s="420">
        <v>2442.0548160773888</v>
      </c>
    </row>
    <row r="365" spans="1:16" x14ac:dyDescent="0.3">
      <c r="A365" s="420">
        <v>1</v>
      </c>
      <c r="C365" s="420">
        <f t="shared" si="25"/>
        <v>7</v>
      </c>
      <c r="D365" s="420">
        <f t="shared" si="26"/>
        <v>7</v>
      </c>
      <c r="E365" s="420">
        <f t="shared" si="27"/>
        <v>17</v>
      </c>
      <c r="F365" s="420" t="str">
        <f t="shared" si="28"/>
        <v>crx</v>
      </c>
      <c r="G365" s="420" t="s">
        <v>985</v>
      </c>
      <c r="H365" s="420" t="s">
        <v>605</v>
      </c>
      <c r="I365" s="420" t="s">
        <v>986</v>
      </c>
      <c r="K365" s="421">
        <f t="shared" si="29"/>
        <v>2477.4754086221396</v>
      </c>
      <c r="M365" s="421">
        <v>2400</v>
      </c>
      <c r="N365" s="420">
        <v>2477.4754086221396</v>
      </c>
    </row>
    <row r="366" spans="1:16" x14ac:dyDescent="0.3">
      <c r="A366" s="420">
        <v>3</v>
      </c>
      <c r="C366" s="420">
        <f t="shared" si="25"/>
        <v>8</v>
      </c>
      <c r="D366" s="420">
        <f t="shared" si="26"/>
        <v>8</v>
      </c>
      <c r="E366" s="420">
        <f t="shared" si="27"/>
        <v>17</v>
      </c>
      <c r="F366" s="420" t="str">
        <f t="shared" si="28"/>
        <v>cr</v>
      </c>
      <c r="G366" s="420" t="s">
        <v>987</v>
      </c>
      <c r="H366" s="420" t="s">
        <v>203</v>
      </c>
      <c r="I366" s="420" t="s">
        <v>988</v>
      </c>
      <c r="K366" s="421">
        <f t="shared" si="29"/>
        <v>2400</v>
      </c>
      <c r="M366" s="421">
        <v>2400</v>
      </c>
    </row>
    <row r="367" spans="1:16" x14ac:dyDescent="0.3">
      <c r="A367" s="420">
        <v>1</v>
      </c>
      <c r="C367" s="420">
        <f t="shared" si="25"/>
        <v>9</v>
      </c>
      <c r="D367" s="420">
        <f t="shared" si="26"/>
        <v>8</v>
      </c>
      <c r="E367" s="420">
        <f t="shared" si="27"/>
        <v>17</v>
      </c>
      <c r="F367" s="420" t="str">
        <f t="shared" si="28"/>
        <v>crx</v>
      </c>
      <c r="G367" s="420" t="s">
        <v>989</v>
      </c>
      <c r="H367" s="420" t="s">
        <v>990</v>
      </c>
      <c r="I367" s="420" t="s">
        <v>991</v>
      </c>
      <c r="K367" s="421">
        <f t="shared" si="29"/>
        <v>2400</v>
      </c>
      <c r="M367" s="421">
        <v>2400</v>
      </c>
    </row>
    <row r="368" spans="1:16" x14ac:dyDescent="0.3">
      <c r="A368" s="420">
        <v>1</v>
      </c>
      <c r="C368" s="420">
        <f t="shared" si="25"/>
        <v>10</v>
      </c>
      <c r="D368" s="420">
        <f t="shared" si="26"/>
        <v>8</v>
      </c>
      <c r="E368" s="420">
        <f t="shared" si="27"/>
        <v>17</v>
      </c>
      <c r="F368" s="420" t="str">
        <f t="shared" si="28"/>
        <v>crx</v>
      </c>
      <c r="G368" s="420" t="s">
        <v>992</v>
      </c>
      <c r="H368" s="420" t="s">
        <v>197</v>
      </c>
      <c r="I368" s="420" t="s">
        <v>993</v>
      </c>
      <c r="K368" s="421">
        <f t="shared" si="29"/>
        <v>2400</v>
      </c>
      <c r="M368" s="421">
        <v>2400</v>
      </c>
    </row>
    <row r="369" spans="1:16" x14ac:dyDescent="0.3">
      <c r="A369" s="420">
        <v>2</v>
      </c>
      <c r="C369" s="420">
        <f t="shared" si="25"/>
        <v>11</v>
      </c>
      <c r="D369" s="420">
        <f t="shared" si="26"/>
        <v>8</v>
      </c>
      <c r="E369" s="420">
        <f t="shared" si="27"/>
        <v>17</v>
      </c>
      <c r="F369" s="420" t="str">
        <f t="shared" si="28"/>
        <v>so</v>
      </c>
      <c r="G369" s="420" t="s">
        <v>994</v>
      </c>
      <c r="H369" s="420" t="s">
        <v>636</v>
      </c>
      <c r="I369" s="420" t="s">
        <v>995</v>
      </c>
      <c r="K369" s="421">
        <f t="shared" si="29"/>
        <v>2400</v>
      </c>
      <c r="M369" s="421">
        <v>2400</v>
      </c>
    </row>
    <row r="370" spans="1:16" x14ac:dyDescent="0.3">
      <c r="A370" s="420">
        <v>3</v>
      </c>
      <c r="C370" s="420">
        <f t="shared" si="25"/>
        <v>1</v>
      </c>
      <c r="D370" s="420">
        <f t="shared" si="26"/>
        <v>1</v>
      </c>
      <c r="E370" s="420">
        <f t="shared" si="27"/>
        <v>18</v>
      </c>
      <c r="F370" s="420" t="str">
        <f t="shared" si="28"/>
        <v>pm</v>
      </c>
      <c r="G370" s="420" t="s">
        <v>996</v>
      </c>
      <c r="H370" s="420" t="s">
        <v>539</v>
      </c>
      <c r="I370" s="420" t="s">
        <v>997</v>
      </c>
      <c r="K370" s="421">
        <f t="shared" si="29"/>
        <v>3000</v>
      </c>
      <c r="M370" s="421">
        <v>3000</v>
      </c>
    </row>
    <row r="371" spans="1:16" x14ac:dyDescent="0.3">
      <c r="A371" s="420">
        <v>1</v>
      </c>
      <c r="C371" s="420">
        <f t="shared" si="25"/>
        <v>2</v>
      </c>
      <c r="D371" s="420">
        <f t="shared" si="26"/>
        <v>2</v>
      </c>
      <c r="E371" s="420">
        <f t="shared" si="27"/>
        <v>18</v>
      </c>
      <c r="F371" s="420" t="str">
        <f t="shared" si="28"/>
        <v>pmx</v>
      </c>
      <c r="G371" s="420" t="s">
        <v>998</v>
      </c>
      <c r="H371" s="420" t="s">
        <v>206</v>
      </c>
      <c r="I371" s="420" t="s">
        <v>999</v>
      </c>
      <c r="K371" s="421">
        <f t="shared" si="29"/>
        <v>3011.156851018934</v>
      </c>
      <c r="M371" s="421">
        <v>3000</v>
      </c>
      <c r="P371" s="420">
        <v>3011.156851018934</v>
      </c>
    </row>
    <row r="372" spans="1:16" x14ac:dyDescent="0.3">
      <c r="A372" s="420">
        <v>3</v>
      </c>
      <c r="C372" s="420">
        <f t="shared" si="25"/>
        <v>3</v>
      </c>
      <c r="D372" s="420">
        <f t="shared" si="26"/>
        <v>3</v>
      </c>
      <c r="E372" s="420">
        <f t="shared" si="27"/>
        <v>18</v>
      </c>
      <c r="F372" s="420" t="str">
        <f t="shared" si="28"/>
        <v>pm</v>
      </c>
      <c r="G372" s="420" t="s">
        <v>1000</v>
      </c>
      <c r="H372" s="420" t="s">
        <v>243</v>
      </c>
      <c r="I372" s="420" t="s">
        <v>1001</v>
      </c>
      <c r="K372" s="421">
        <f t="shared" si="29"/>
        <v>3052.4034884576249</v>
      </c>
      <c r="M372" s="421">
        <v>3000</v>
      </c>
      <c r="P372" s="420">
        <v>3052.4034884576249</v>
      </c>
    </row>
    <row r="373" spans="1:16" x14ac:dyDescent="0.3">
      <c r="A373" s="420">
        <v>7</v>
      </c>
      <c r="C373" s="420">
        <f t="shared" si="25"/>
        <v>4</v>
      </c>
      <c r="D373" s="420">
        <f t="shared" si="26"/>
        <v>4</v>
      </c>
      <c r="E373" s="420">
        <f t="shared" si="27"/>
        <v>18</v>
      </c>
      <c r="F373" s="420" t="str">
        <f t="shared" si="28"/>
        <v>pm</v>
      </c>
      <c r="G373" s="420" t="s">
        <v>1002</v>
      </c>
      <c r="H373" s="420" t="s">
        <v>278</v>
      </c>
      <c r="I373" s="420" t="s">
        <v>1003</v>
      </c>
      <c r="K373" s="421">
        <f t="shared" si="29"/>
        <v>3057.8410454728637</v>
      </c>
      <c r="M373" s="421">
        <v>3000</v>
      </c>
      <c r="O373" s="420">
        <v>3041.9807671510221</v>
      </c>
      <c r="P373" s="420">
        <v>3057.8410454728637</v>
      </c>
    </row>
    <row r="374" spans="1:16" x14ac:dyDescent="0.3">
      <c r="A374" s="420">
        <v>7</v>
      </c>
      <c r="C374" s="420">
        <f t="shared" si="25"/>
        <v>5</v>
      </c>
      <c r="D374" s="420">
        <f t="shared" si="26"/>
        <v>5</v>
      </c>
      <c r="E374" s="420">
        <f t="shared" si="27"/>
        <v>18</v>
      </c>
      <c r="F374" s="420" t="str">
        <f t="shared" si="28"/>
        <v>pm</v>
      </c>
      <c r="G374" s="420" t="s">
        <v>1004</v>
      </c>
      <c r="H374" s="420" t="s">
        <v>278</v>
      </c>
      <c r="I374" s="420" t="s">
        <v>1005</v>
      </c>
      <c r="K374" s="421">
        <f t="shared" si="29"/>
        <v>2862.3746207039353</v>
      </c>
      <c r="M374" s="421">
        <v>3000</v>
      </c>
      <c r="O374" s="420">
        <v>2918.7916428536187</v>
      </c>
      <c r="P374" s="420">
        <v>2862.3746207039353</v>
      </c>
    </row>
    <row r="375" spans="1:16" x14ac:dyDescent="0.3">
      <c r="A375" s="420">
        <v>2</v>
      </c>
      <c r="C375" s="420">
        <f t="shared" si="25"/>
        <v>6</v>
      </c>
      <c r="D375" s="420">
        <f t="shared" si="26"/>
        <v>6</v>
      </c>
      <c r="E375" s="420">
        <f t="shared" si="27"/>
        <v>18</v>
      </c>
      <c r="F375" s="420" t="str">
        <f t="shared" si="28"/>
        <v>pm</v>
      </c>
      <c r="G375" s="420" t="s">
        <v>1006</v>
      </c>
      <c r="H375" s="420" t="s">
        <v>349</v>
      </c>
      <c r="I375" s="420" t="s">
        <v>1007</v>
      </c>
      <c r="K375" s="421">
        <f t="shared" si="29"/>
        <v>2940.4015103432962</v>
      </c>
      <c r="M375" s="421">
        <v>3000</v>
      </c>
      <c r="P375" s="420">
        <v>2940.4015103432962</v>
      </c>
    </row>
    <row r="376" spans="1:16" x14ac:dyDescent="0.3">
      <c r="A376" s="420">
        <v>5</v>
      </c>
      <c r="C376" s="420">
        <f t="shared" si="25"/>
        <v>7</v>
      </c>
      <c r="D376" s="420">
        <f t="shared" si="26"/>
        <v>7</v>
      </c>
      <c r="E376" s="420">
        <f t="shared" si="27"/>
        <v>18</v>
      </c>
      <c r="F376" s="420" t="str">
        <f t="shared" si="28"/>
        <v>pm</v>
      </c>
      <c r="G376" s="420" t="s">
        <v>1008</v>
      </c>
      <c r="H376" s="420" t="s">
        <v>715</v>
      </c>
      <c r="I376" s="420" t="s">
        <v>1009</v>
      </c>
      <c r="K376" s="421">
        <f t="shared" si="29"/>
        <v>2995.9428308489555</v>
      </c>
      <c r="M376" s="421">
        <v>3000</v>
      </c>
      <c r="P376" s="420">
        <v>2995.9428308489555</v>
      </c>
    </row>
    <row r="377" spans="1:16" x14ac:dyDescent="0.3">
      <c r="A377" s="420">
        <v>2</v>
      </c>
      <c r="C377" s="420">
        <f t="shared" si="25"/>
        <v>8</v>
      </c>
      <c r="D377" s="420">
        <f t="shared" si="26"/>
        <v>8</v>
      </c>
      <c r="E377" s="420">
        <f t="shared" si="27"/>
        <v>18</v>
      </c>
      <c r="F377" s="420" t="str">
        <f t="shared" si="28"/>
        <v>pm</v>
      </c>
      <c r="G377" s="420" t="s">
        <v>1010</v>
      </c>
      <c r="H377" s="420" t="s">
        <v>215</v>
      </c>
      <c r="I377" s="420" t="s">
        <v>1011</v>
      </c>
      <c r="K377" s="421">
        <f t="shared" si="29"/>
        <v>3115.0197027601071</v>
      </c>
      <c r="M377" s="421">
        <v>3000</v>
      </c>
      <c r="P377" s="420">
        <v>3115.0197027601071</v>
      </c>
    </row>
    <row r="378" spans="1:16" x14ac:dyDescent="0.3">
      <c r="A378" s="420">
        <v>2</v>
      </c>
      <c r="C378" s="420">
        <f t="shared" si="25"/>
        <v>9</v>
      </c>
      <c r="D378" s="420">
        <f t="shared" si="26"/>
        <v>9</v>
      </c>
      <c r="E378" s="420">
        <f t="shared" si="27"/>
        <v>18</v>
      </c>
      <c r="F378" s="420" t="str">
        <f t="shared" si="28"/>
        <v>pm</v>
      </c>
      <c r="G378" s="420" t="s">
        <v>1012</v>
      </c>
      <c r="H378" s="420" t="s">
        <v>215</v>
      </c>
      <c r="I378" s="420" t="s">
        <v>1013</v>
      </c>
      <c r="K378" s="421">
        <f t="shared" si="29"/>
        <v>2895.3037348332809</v>
      </c>
      <c r="M378" s="421">
        <v>3000</v>
      </c>
      <c r="P378" s="420">
        <v>2895.3037348332809</v>
      </c>
    </row>
    <row r="379" spans="1:16" x14ac:dyDescent="0.3">
      <c r="A379" s="420">
        <v>3</v>
      </c>
      <c r="C379" s="420">
        <f t="shared" si="25"/>
        <v>10</v>
      </c>
      <c r="D379" s="420">
        <f t="shared" si="26"/>
        <v>10</v>
      </c>
      <c r="E379" s="420">
        <f t="shared" si="27"/>
        <v>18</v>
      </c>
      <c r="F379" s="420" t="str">
        <f t="shared" si="28"/>
        <v>pm</v>
      </c>
      <c r="G379" s="420" t="s">
        <v>1014</v>
      </c>
      <c r="H379" s="420" t="s">
        <v>283</v>
      </c>
      <c r="I379" s="420" t="s">
        <v>1015</v>
      </c>
      <c r="K379" s="421">
        <f t="shared" si="29"/>
        <v>3053.6663858700913</v>
      </c>
      <c r="M379" s="421">
        <v>3000</v>
      </c>
      <c r="O379" s="420">
        <v>3053.6663858700913</v>
      </c>
    </row>
    <row r="380" spans="1:16" x14ac:dyDescent="0.3">
      <c r="A380" s="420">
        <v>2</v>
      </c>
      <c r="C380" s="420">
        <f t="shared" si="25"/>
        <v>11</v>
      </c>
      <c r="D380" s="420">
        <f t="shared" si="26"/>
        <v>11</v>
      </c>
      <c r="E380" s="420">
        <f t="shared" si="27"/>
        <v>18</v>
      </c>
      <c r="F380" s="420" t="str">
        <f t="shared" si="28"/>
        <v>pm</v>
      </c>
      <c r="G380" s="420" t="s">
        <v>1016</v>
      </c>
      <c r="H380" s="420" t="s">
        <v>288</v>
      </c>
      <c r="I380" s="420" t="s">
        <v>1017</v>
      </c>
      <c r="K380" s="421">
        <f t="shared" si="29"/>
        <v>3000</v>
      </c>
      <c r="M380" s="421">
        <v>3000</v>
      </c>
    </row>
    <row r="381" spans="1:16" x14ac:dyDescent="0.3">
      <c r="A381" s="420">
        <v>5</v>
      </c>
      <c r="C381" s="420">
        <f t="shared" si="25"/>
        <v>12</v>
      </c>
      <c r="D381" s="420">
        <f t="shared" si="26"/>
        <v>12</v>
      </c>
      <c r="E381" s="420">
        <f t="shared" si="27"/>
        <v>18</v>
      </c>
      <c r="F381" s="420" t="str">
        <f t="shared" si="28"/>
        <v>pm</v>
      </c>
      <c r="G381" s="420" t="s">
        <v>1018</v>
      </c>
      <c r="H381" s="420" t="s">
        <v>437</v>
      </c>
      <c r="I381" s="420" t="s">
        <v>1019</v>
      </c>
      <c r="K381" s="421">
        <f t="shared" si="29"/>
        <v>3012.2022182610085</v>
      </c>
      <c r="M381" s="421">
        <v>3000</v>
      </c>
      <c r="P381" s="420">
        <v>3012.2022182610085</v>
      </c>
    </row>
    <row r="382" spans="1:16" x14ac:dyDescent="0.3">
      <c r="A382" s="420">
        <v>2</v>
      </c>
      <c r="C382" s="420">
        <f t="shared" si="25"/>
        <v>13</v>
      </c>
      <c r="D382" s="420">
        <f t="shared" si="26"/>
        <v>13</v>
      </c>
      <c r="E382" s="420">
        <f t="shared" si="27"/>
        <v>18</v>
      </c>
      <c r="F382" s="420" t="str">
        <f t="shared" si="28"/>
        <v>pm</v>
      </c>
      <c r="G382" s="420" t="s">
        <v>1020</v>
      </c>
      <c r="H382" s="420" t="s">
        <v>491</v>
      </c>
      <c r="I382" s="420" t="s">
        <v>1021</v>
      </c>
      <c r="K382" s="421">
        <f t="shared" si="29"/>
        <v>3049.1452363505205</v>
      </c>
      <c r="M382" s="421">
        <v>3000</v>
      </c>
      <c r="P382" s="420">
        <v>3049.1452363505205</v>
      </c>
    </row>
    <row r="383" spans="1:16" x14ac:dyDescent="0.3">
      <c r="A383" s="420">
        <v>1</v>
      </c>
      <c r="C383" s="420">
        <f t="shared" si="25"/>
        <v>14</v>
      </c>
      <c r="D383" s="420">
        <f t="shared" si="26"/>
        <v>14</v>
      </c>
      <c r="E383" s="420">
        <f t="shared" si="27"/>
        <v>18</v>
      </c>
      <c r="F383" s="420" t="str">
        <f t="shared" si="28"/>
        <v>pmx</v>
      </c>
      <c r="G383" s="420" t="s">
        <v>1022</v>
      </c>
      <c r="H383" s="420" t="s">
        <v>227</v>
      </c>
      <c r="I383" s="420" t="s">
        <v>1023</v>
      </c>
      <c r="K383" s="421">
        <f t="shared" si="29"/>
        <v>3000</v>
      </c>
      <c r="M383" s="421">
        <v>3000</v>
      </c>
    </row>
    <row r="384" spans="1:16" x14ac:dyDescent="0.3">
      <c r="A384" s="420">
        <v>1</v>
      </c>
      <c r="C384" s="420">
        <f t="shared" si="25"/>
        <v>15</v>
      </c>
      <c r="D384" s="420">
        <f t="shared" si="26"/>
        <v>15</v>
      </c>
      <c r="E384" s="420">
        <f t="shared" si="27"/>
        <v>18</v>
      </c>
      <c r="F384" s="420" t="str">
        <f t="shared" si="28"/>
        <v>crx</v>
      </c>
      <c r="G384" s="420" t="s">
        <v>1024</v>
      </c>
      <c r="H384" s="420" t="s">
        <v>826</v>
      </c>
      <c r="I384" s="420" t="s">
        <v>1025</v>
      </c>
      <c r="K384" s="421">
        <f t="shared" si="29"/>
        <v>2993.1280277422129</v>
      </c>
      <c r="M384" s="421">
        <v>3000</v>
      </c>
      <c r="P384" s="420">
        <v>2993.1280277422129</v>
      </c>
    </row>
    <row r="385" spans="1:16" x14ac:dyDescent="0.3">
      <c r="A385" s="420">
        <v>1</v>
      </c>
      <c r="C385" s="420">
        <f t="shared" si="25"/>
        <v>16</v>
      </c>
      <c r="D385" s="420">
        <f t="shared" si="26"/>
        <v>16</v>
      </c>
      <c r="E385" s="420">
        <f t="shared" si="27"/>
        <v>18</v>
      </c>
      <c r="F385" s="420" t="str">
        <f t="shared" si="28"/>
        <v>crx</v>
      </c>
      <c r="G385" s="420" t="s">
        <v>1026</v>
      </c>
      <c r="H385" s="420" t="s">
        <v>826</v>
      </c>
      <c r="I385" s="420" t="s">
        <v>1027</v>
      </c>
      <c r="K385" s="421">
        <f t="shared" si="29"/>
        <v>2895.2803258200752</v>
      </c>
      <c r="M385" s="421">
        <v>3000</v>
      </c>
      <c r="P385" s="420">
        <v>2895.2803258200752</v>
      </c>
    </row>
    <row r="386" spans="1:16" x14ac:dyDescent="0.3">
      <c r="A386" s="420">
        <v>1</v>
      </c>
      <c r="C386" s="420">
        <f t="shared" ref="C386:C401" si="30">IF(E386=E385,C385+1,1)</f>
        <v>17</v>
      </c>
      <c r="D386" s="420">
        <f t="shared" ref="D386:D401" si="31">IF(K386=K385,D385,C386)</f>
        <v>17</v>
      </c>
      <c r="E386" s="420">
        <f t="shared" ref="E386:E401" si="32">10+VALUE(RIGHT(LEFT(G386,3),1))</f>
        <v>18</v>
      </c>
      <c r="F386" s="420" t="str">
        <f t="shared" ref="F386:F401" si="33">RIGHT(G386,2) &amp; IF(A386&lt;2,"x","")</f>
        <v>crx</v>
      </c>
      <c r="G386" s="420" t="s">
        <v>1028</v>
      </c>
      <c r="H386" s="420" t="s">
        <v>1029</v>
      </c>
      <c r="I386" s="420" t="s">
        <v>1030</v>
      </c>
      <c r="K386" s="421">
        <f t="shared" ref="K386:K401" si="34">LOOKUP(1E+100,M386:AB386)</f>
        <v>3020.7208746056385</v>
      </c>
      <c r="M386" s="421">
        <v>3000</v>
      </c>
      <c r="O386" s="420">
        <v>3020.7208746056385</v>
      </c>
    </row>
    <row r="387" spans="1:16" x14ac:dyDescent="0.3">
      <c r="A387" s="420">
        <v>1</v>
      </c>
      <c r="C387" s="420">
        <f t="shared" si="30"/>
        <v>18</v>
      </c>
      <c r="D387" s="420">
        <f t="shared" si="31"/>
        <v>18</v>
      </c>
      <c r="E387" s="420">
        <f t="shared" si="32"/>
        <v>18</v>
      </c>
      <c r="F387" s="420" t="str">
        <f t="shared" si="33"/>
        <v>crx</v>
      </c>
      <c r="G387" s="420" t="s">
        <v>1031</v>
      </c>
      <c r="H387" s="420" t="s">
        <v>1029</v>
      </c>
      <c r="I387" s="420" t="s">
        <v>1032</v>
      </c>
      <c r="K387" s="421">
        <f t="shared" si="34"/>
        <v>3030.7048604400079</v>
      </c>
      <c r="M387" s="421">
        <v>3000</v>
      </c>
      <c r="O387" s="420">
        <v>3030.7048604400079</v>
      </c>
    </row>
    <row r="388" spans="1:16" x14ac:dyDescent="0.3">
      <c r="A388" s="420">
        <v>1</v>
      </c>
      <c r="C388" s="420">
        <f t="shared" si="30"/>
        <v>19</v>
      </c>
      <c r="D388" s="420">
        <f t="shared" si="31"/>
        <v>19</v>
      </c>
      <c r="E388" s="420">
        <f t="shared" si="32"/>
        <v>18</v>
      </c>
      <c r="F388" s="420" t="str">
        <f t="shared" si="33"/>
        <v>crx</v>
      </c>
      <c r="G388" s="420" t="s">
        <v>1033</v>
      </c>
      <c r="H388" s="420" t="s">
        <v>369</v>
      </c>
      <c r="I388" s="420" t="s">
        <v>1034</v>
      </c>
      <c r="K388" s="421">
        <f t="shared" si="34"/>
        <v>3000</v>
      </c>
      <c r="M388" s="421">
        <v>3000</v>
      </c>
    </row>
    <row r="389" spans="1:16" x14ac:dyDescent="0.3">
      <c r="A389" s="420">
        <v>1</v>
      </c>
      <c r="C389" s="420">
        <f t="shared" si="30"/>
        <v>20</v>
      </c>
      <c r="D389" s="420">
        <f t="shared" si="31"/>
        <v>19</v>
      </c>
      <c r="E389" s="420">
        <f t="shared" si="32"/>
        <v>18</v>
      </c>
      <c r="F389" s="420" t="str">
        <f t="shared" si="33"/>
        <v>crx</v>
      </c>
      <c r="G389" s="420" t="s">
        <v>1035</v>
      </c>
      <c r="H389" s="420" t="s">
        <v>612</v>
      </c>
      <c r="I389" s="420" t="s">
        <v>1036</v>
      </c>
      <c r="K389" s="421">
        <f t="shared" si="34"/>
        <v>3000</v>
      </c>
      <c r="M389" s="421">
        <v>3000</v>
      </c>
    </row>
    <row r="390" spans="1:16" x14ac:dyDescent="0.3">
      <c r="A390" s="420">
        <v>1</v>
      </c>
      <c r="C390" s="420">
        <f t="shared" si="30"/>
        <v>21</v>
      </c>
      <c r="D390" s="420">
        <f t="shared" si="31"/>
        <v>21</v>
      </c>
      <c r="E390" s="420">
        <f t="shared" si="32"/>
        <v>18</v>
      </c>
      <c r="F390" s="420" t="str">
        <f t="shared" si="33"/>
        <v>crx</v>
      </c>
      <c r="G390" s="420" t="s">
        <v>1037</v>
      </c>
      <c r="H390" s="420" t="s">
        <v>918</v>
      </c>
      <c r="I390" s="420" t="s">
        <v>1038</v>
      </c>
      <c r="K390" s="421">
        <f t="shared" si="34"/>
        <v>2984.49504329918</v>
      </c>
      <c r="M390" s="421">
        <v>3000</v>
      </c>
      <c r="O390" s="420">
        <v>2984.49504329918</v>
      </c>
    </row>
    <row r="391" spans="1:16" x14ac:dyDescent="0.3">
      <c r="A391" s="420">
        <v>1</v>
      </c>
      <c r="C391" s="420">
        <f t="shared" si="30"/>
        <v>22</v>
      </c>
      <c r="D391" s="420">
        <f t="shared" si="31"/>
        <v>22</v>
      </c>
      <c r="E391" s="420">
        <f t="shared" si="32"/>
        <v>18</v>
      </c>
      <c r="F391" s="420" t="str">
        <f t="shared" si="33"/>
        <v>sox</v>
      </c>
      <c r="G391" s="420" t="s">
        <v>1039</v>
      </c>
      <c r="H391" s="420" t="s">
        <v>696</v>
      </c>
      <c r="I391" s="420" t="s">
        <v>1040</v>
      </c>
      <c r="K391" s="421">
        <f t="shared" si="34"/>
        <v>3000</v>
      </c>
      <c r="M391" s="421">
        <v>3000</v>
      </c>
    </row>
    <row r="392" spans="1:16" x14ac:dyDescent="0.3">
      <c r="A392" s="420">
        <v>2</v>
      </c>
      <c r="C392" s="420">
        <f t="shared" si="30"/>
        <v>23</v>
      </c>
      <c r="D392" s="420">
        <f t="shared" si="31"/>
        <v>23</v>
      </c>
      <c r="E392" s="420">
        <f t="shared" si="32"/>
        <v>18</v>
      </c>
      <c r="F392" s="420" t="str">
        <f t="shared" si="33"/>
        <v>pm</v>
      </c>
      <c r="G392" s="420" t="s">
        <v>1041</v>
      </c>
      <c r="H392" s="420" t="s">
        <v>727</v>
      </c>
      <c r="I392" s="420" t="s">
        <v>1042</v>
      </c>
      <c r="K392" s="421">
        <f t="shared" si="34"/>
        <v>2784.3704638645931</v>
      </c>
      <c r="M392" s="421">
        <v>2800</v>
      </c>
      <c r="N392" s="420">
        <v>2784.3704638645931</v>
      </c>
    </row>
    <row r="393" spans="1:16" x14ac:dyDescent="0.3">
      <c r="A393" s="420">
        <v>6</v>
      </c>
      <c r="C393" s="420">
        <f t="shared" si="30"/>
        <v>24</v>
      </c>
      <c r="D393" s="420">
        <f t="shared" si="31"/>
        <v>24</v>
      </c>
      <c r="E393" s="420">
        <f t="shared" si="32"/>
        <v>18</v>
      </c>
      <c r="F393" s="420" t="str">
        <f t="shared" si="33"/>
        <v>pm</v>
      </c>
      <c r="G393" s="420" t="s">
        <v>1043</v>
      </c>
      <c r="H393" s="420" t="s">
        <v>891</v>
      </c>
      <c r="I393" s="420" t="s">
        <v>1044</v>
      </c>
      <c r="K393" s="421">
        <f t="shared" si="34"/>
        <v>2560.6143683105338</v>
      </c>
      <c r="M393" s="421">
        <v>2600</v>
      </c>
      <c r="N393" s="420">
        <v>2598.4897616641106</v>
      </c>
      <c r="P393" s="420">
        <v>2560.6143683105338</v>
      </c>
    </row>
    <row r="394" spans="1:16" x14ac:dyDescent="0.3">
      <c r="A394" s="420">
        <v>6</v>
      </c>
      <c r="C394" s="420">
        <f>IF(E394=E358,C358+1,1)</f>
        <v>1</v>
      </c>
      <c r="D394" s="420">
        <f>IF(K394=K358,D358,C394)</f>
        <v>1</v>
      </c>
      <c r="E394" s="420">
        <f>10+VALUE(RIGHT(LEFT(G394,3),1))</f>
        <v>18</v>
      </c>
      <c r="F394" s="420" t="str">
        <f>RIGHT(G394,2) &amp; IF(A394&lt;2,"x","")</f>
        <v>pm</v>
      </c>
      <c r="G394" s="419" t="s">
        <v>1045</v>
      </c>
      <c r="H394" s="420" t="s">
        <v>891</v>
      </c>
      <c r="I394" s="420" t="s">
        <v>1046</v>
      </c>
      <c r="K394" s="421">
        <f>LOOKUP(1E+100,M394:AB394)</f>
        <v>2514.0032889712584</v>
      </c>
      <c r="M394" s="421">
        <v>2600</v>
      </c>
      <c r="N394" s="420">
        <v>2513.8626072183683</v>
      </c>
      <c r="P394" s="420">
        <v>2514.0032889712584</v>
      </c>
    </row>
    <row r="395" spans="1:16" x14ac:dyDescent="0.3">
      <c r="A395" s="420">
        <v>2</v>
      </c>
      <c r="C395" s="420">
        <f>IF(E395=E393,C393+1,1)</f>
        <v>25</v>
      </c>
      <c r="D395" s="420">
        <f>IF(K395=K393,D393,C395)</f>
        <v>25</v>
      </c>
      <c r="E395" s="420">
        <f t="shared" si="32"/>
        <v>18</v>
      </c>
      <c r="F395" s="420" t="str">
        <f t="shared" si="33"/>
        <v>pm</v>
      </c>
      <c r="G395" s="420" t="s">
        <v>1047</v>
      </c>
      <c r="H395" s="420" t="s">
        <v>758</v>
      </c>
      <c r="I395" s="420" t="s">
        <v>1048</v>
      </c>
      <c r="K395" s="421">
        <f t="shared" si="34"/>
        <v>2600</v>
      </c>
      <c r="M395" s="421">
        <v>2600</v>
      </c>
    </row>
    <row r="396" spans="1:16" x14ac:dyDescent="0.3">
      <c r="A396" s="420">
        <v>7</v>
      </c>
      <c r="C396" s="420">
        <f t="shared" si="30"/>
        <v>26</v>
      </c>
      <c r="D396" s="420">
        <f t="shared" si="31"/>
        <v>26</v>
      </c>
      <c r="E396" s="420">
        <f t="shared" si="32"/>
        <v>18</v>
      </c>
      <c r="F396" s="420" t="str">
        <f t="shared" si="33"/>
        <v>pm</v>
      </c>
      <c r="G396" s="420" t="s">
        <v>1049</v>
      </c>
      <c r="H396" s="420" t="s">
        <v>761</v>
      </c>
      <c r="I396" s="420" t="s">
        <v>1050</v>
      </c>
      <c r="K396" s="421">
        <f t="shared" si="34"/>
        <v>2503.6831965637493</v>
      </c>
      <c r="M396" s="421">
        <v>2600</v>
      </c>
      <c r="N396" s="420">
        <v>2509.9742813075081</v>
      </c>
      <c r="P396" s="420">
        <v>2503.6831965637493</v>
      </c>
    </row>
    <row r="397" spans="1:16" x14ac:dyDescent="0.3">
      <c r="A397" s="420">
        <v>2</v>
      </c>
      <c r="C397" s="420">
        <f t="shared" si="30"/>
        <v>27</v>
      </c>
      <c r="D397" s="420">
        <f t="shared" si="31"/>
        <v>27</v>
      </c>
      <c r="E397" s="420">
        <f t="shared" si="32"/>
        <v>18</v>
      </c>
      <c r="F397" s="420" t="str">
        <f t="shared" si="33"/>
        <v>pm</v>
      </c>
      <c r="G397" s="420" t="s">
        <v>1051</v>
      </c>
      <c r="H397" s="420" t="s">
        <v>437</v>
      </c>
      <c r="I397" s="420" t="s">
        <v>1052</v>
      </c>
      <c r="K397" s="421">
        <f t="shared" si="34"/>
        <v>2476.9796027233456</v>
      </c>
      <c r="M397" s="421">
        <v>2600</v>
      </c>
      <c r="P397" s="420">
        <v>2476.9796027233456</v>
      </c>
    </row>
    <row r="398" spans="1:16" x14ac:dyDescent="0.3">
      <c r="A398" s="420">
        <v>1</v>
      </c>
      <c r="C398" s="420">
        <f t="shared" si="30"/>
        <v>28</v>
      </c>
      <c r="D398" s="420">
        <f t="shared" si="31"/>
        <v>28</v>
      </c>
      <c r="E398" s="420">
        <f t="shared" si="32"/>
        <v>18</v>
      </c>
      <c r="F398" s="420" t="str">
        <f t="shared" si="33"/>
        <v>crx</v>
      </c>
      <c r="G398" s="420" t="s">
        <v>1053</v>
      </c>
      <c r="H398" s="420" t="s">
        <v>921</v>
      </c>
      <c r="I398" s="420" t="s">
        <v>1054</v>
      </c>
      <c r="K398" s="421">
        <f t="shared" si="34"/>
        <v>2600</v>
      </c>
      <c r="M398" s="421">
        <v>2600</v>
      </c>
    </row>
    <row r="399" spans="1:16" x14ac:dyDescent="0.3">
      <c r="A399" s="420">
        <v>3</v>
      </c>
      <c r="C399" s="420">
        <f t="shared" si="30"/>
        <v>29</v>
      </c>
      <c r="D399" s="420">
        <f t="shared" si="31"/>
        <v>29</v>
      </c>
      <c r="E399" s="420">
        <f t="shared" si="32"/>
        <v>18</v>
      </c>
      <c r="F399" s="420" t="str">
        <f t="shared" si="33"/>
        <v>cr</v>
      </c>
      <c r="G399" s="420" t="s">
        <v>1055</v>
      </c>
      <c r="H399" s="420" t="s">
        <v>624</v>
      </c>
      <c r="I399" s="420" t="s">
        <v>1056</v>
      </c>
      <c r="K399" s="421">
        <f t="shared" si="34"/>
        <v>2662.393350504467</v>
      </c>
      <c r="M399" s="421">
        <v>2600</v>
      </c>
      <c r="N399" s="420">
        <v>2662.393350504467</v>
      </c>
    </row>
    <row r="400" spans="1:16" x14ac:dyDescent="0.3">
      <c r="A400" s="420">
        <v>2</v>
      </c>
      <c r="C400" s="420">
        <f t="shared" si="30"/>
        <v>30</v>
      </c>
      <c r="D400" s="420">
        <f t="shared" si="31"/>
        <v>30</v>
      </c>
      <c r="E400" s="420">
        <f t="shared" si="32"/>
        <v>18</v>
      </c>
      <c r="F400" s="420" t="str">
        <f t="shared" si="33"/>
        <v>so</v>
      </c>
      <c r="G400" s="420" t="s">
        <v>1057</v>
      </c>
      <c r="H400" s="420" t="s">
        <v>453</v>
      </c>
      <c r="I400" s="420" t="s">
        <v>1058</v>
      </c>
      <c r="K400" s="421">
        <f t="shared" si="34"/>
        <v>2600</v>
      </c>
      <c r="M400" s="421">
        <v>2600</v>
      </c>
    </row>
    <row r="401" spans="1:16" x14ac:dyDescent="0.3">
      <c r="A401" s="420">
        <v>1</v>
      </c>
      <c r="C401" s="420">
        <f t="shared" si="30"/>
        <v>31</v>
      </c>
      <c r="D401" s="420">
        <f t="shared" si="31"/>
        <v>30</v>
      </c>
      <c r="E401" s="420">
        <f t="shared" si="32"/>
        <v>18</v>
      </c>
      <c r="F401" s="420" t="str">
        <f t="shared" si="33"/>
        <v>sox</v>
      </c>
      <c r="G401" s="420" t="s">
        <v>1059</v>
      </c>
      <c r="H401" s="420" t="s">
        <v>1060</v>
      </c>
      <c r="I401" s="420" t="s">
        <v>1061</v>
      </c>
      <c r="K401" s="421">
        <f t="shared" si="34"/>
        <v>2600</v>
      </c>
      <c r="M401" s="421">
        <v>2600</v>
      </c>
    </row>
    <row r="404" spans="1:16" x14ac:dyDescent="0.3">
      <c r="A404" s="420">
        <v>2</v>
      </c>
      <c r="C404" s="420">
        <f t="shared" ref="C404:C406" si="35">IF(E404=E403,C403+1,1)</f>
        <v>1</v>
      </c>
      <c r="D404" s="420">
        <f t="shared" ref="D404:D406" si="36">IF(K404=K403,D403,C404)</f>
        <v>1</v>
      </c>
      <c r="E404" s="420">
        <f t="shared" ref="E404:E406" si="37">10+VALUE(RIGHT(LEFT(G404,3),1))</f>
        <v>13</v>
      </c>
      <c r="F404" s="420" t="str">
        <f t="shared" ref="F404:F406" si="38">RIGHT(G404,2) &amp; IF(A404&lt;2,"x","")</f>
        <v>pm</v>
      </c>
      <c r="G404" s="419" t="s">
        <v>1062</v>
      </c>
      <c r="H404" s="420" t="s">
        <v>215</v>
      </c>
      <c r="I404" s="419" t="s">
        <v>1063</v>
      </c>
      <c r="K404" s="421">
        <f t="shared" ref="K404:K406" si="39">LOOKUP(1E+100,M404:AB404)</f>
        <v>1910.2697823414592</v>
      </c>
      <c r="M404" s="421">
        <v>2000</v>
      </c>
      <c r="P404" s="420">
        <v>1910.2697823414592</v>
      </c>
    </row>
    <row r="405" spans="1:16" x14ac:dyDescent="0.3">
      <c r="A405" s="420">
        <v>1</v>
      </c>
      <c r="C405" s="420">
        <f t="shared" si="35"/>
        <v>2</v>
      </c>
      <c r="D405" s="420">
        <f t="shared" si="36"/>
        <v>2</v>
      </c>
      <c r="E405" s="420">
        <f t="shared" si="37"/>
        <v>13</v>
      </c>
      <c r="F405" s="420" t="str">
        <f t="shared" si="38"/>
        <v>crx</v>
      </c>
      <c r="G405" s="419" t="s">
        <v>1064</v>
      </c>
      <c r="H405" s="419" t="s">
        <v>1065</v>
      </c>
      <c r="I405" s="420" t="s">
        <v>1066</v>
      </c>
      <c r="K405" s="421">
        <f t="shared" si="39"/>
        <v>1642.4175455670834</v>
      </c>
      <c r="M405" s="421">
        <v>1600</v>
      </c>
      <c r="P405" s="420">
        <v>1642.4175455670834</v>
      </c>
    </row>
    <row r="406" spans="1:16" x14ac:dyDescent="0.3">
      <c r="A406" s="420">
        <v>2</v>
      </c>
      <c r="C406" s="420">
        <f t="shared" si="35"/>
        <v>1</v>
      </c>
      <c r="D406" s="420">
        <f t="shared" si="36"/>
        <v>1</v>
      </c>
      <c r="E406" s="420">
        <f t="shared" si="37"/>
        <v>15</v>
      </c>
      <c r="F406" s="420" t="str">
        <f t="shared" si="38"/>
        <v>pm</v>
      </c>
      <c r="G406" s="419" t="s">
        <v>1067</v>
      </c>
      <c r="H406" s="419" t="s">
        <v>1068</v>
      </c>
      <c r="I406" s="420" t="s">
        <v>1069</v>
      </c>
      <c r="K406" s="421">
        <f t="shared" si="39"/>
        <v>2022.9770397763709</v>
      </c>
      <c r="M406" s="421">
        <v>2000</v>
      </c>
      <c r="P406" s="420">
        <v>2022.9770397763709</v>
      </c>
    </row>
    <row r="407" spans="1:16" x14ac:dyDescent="0.3">
      <c r="G407" s="419"/>
      <c r="H407" s="419"/>
    </row>
    <row r="408" spans="1:16" x14ac:dyDescent="0.3">
      <c r="A408" s="420">
        <v>2</v>
      </c>
      <c r="C408" s="420">
        <f t="shared" ref="C408:C412" si="40">IF(E408=E407,C407+1,1)</f>
        <v>1</v>
      </c>
      <c r="D408" s="420">
        <f t="shared" ref="D408:D412" si="41">IF(K408=K407,D407,C408)</f>
        <v>1</v>
      </c>
      <c r="E408" s="420">
        <f t="shared" ref="E408:E412" si="42">10+VALUE(RIGHT(LEFT(G408,3),1))</f>
        <v>11</v>
      </c>
      <c r="F408" s="420" t="str">
        <f t="shared" ref="F408:F412" si="43">RIGHT(G408,2) &amp; IF(A408&lt;2,"x","")</f>
        <v>pm</v>
      </c>
      <c r="G408" s="419" t="s">
        <v>160</v>
      </c>
      <c r="H408" s="419" t="s">
        <v>1070</v>
      </c>
      <c r="I408" s="420" t="s">
        <v>159</v>
      </c>
      <c r="K408" s="421">
        <f t="shared" ref="K408" si="44">LOOKUP(1E+100,M408:AB408)</f>
        <v>1200</v>
      </c>
      <c r="M408" s="421">
        <v>1200</v>
      </c>
    </row>
    <row r="409" spans="1:16" x14ac:dyDescent="0.3">
      <c r="A409" s="420">
        <v>2</v>
      </c>
      <c r="C409" s="420">
        <f t="shared" si="40"/>
        <v>2</v>
      </c>
      <c r="D409" s="420">
        <f t="shared" si="41"/>
        <v>1</v>
      </c>
      <c r="E409" s="420">
        <f t="shared" si="42"/>
        <v>11</v>
      </c>
      <c r="F409" s="420" t="str">
        <f t="shared" si="43"/>
        <v>pm</v>
      </c>
      <c r="G409" s="419" t="s">
        <v>162</v>
      </c>
      <c r="H409" s="419" t="s">
        <v>1070</v>
      </c>
      <c r="I409" s="420" t="s">
        <v>161</v>
      </c>
      <c r="K409" s="421">
        <f t="shared" ref="K409:K412" si="45">LOOKUP(1E+100,M409:AB409)</f>
        <v>1200</v>
      </c>
      <c r="M409" s="421">
        <v>1200</v>
      </c>
    </row>
    <row r="410" spans="1:16" x14ac:dyDescent="0.3">
      <c r="A410" s="420">
        <v>2</v>
      </c>
      <c r="C410" s="420">
        <f t="shared" si="40"/>
        <v>3</v>
      </c>
      <c r="D410" s="420">
        <f t="shared" si="41"/>
        <v>1</v>
      </c>
      <c r="E410" s="420">
        <f t="shared" si="42"/>
        <v>11</v>
      </c>
      <c r="F410" s="420" t="str">
        <f t="shared" si="43"/>
        <v>pm</v>
      </c>
      <c r="G410" s="419" t="s">
        <v>164</v>
      </c>
      <c r="H410" s="419" t="s">
        <v>1070</v>
      </c>
      <c r="I410" s="420" t="s">
        <v>163</v>
      </c>
      <c r="K410" s="421">
        <f t="shared" si="45"/>
        <v>1200</v>
      </c>
      <c r="M410" s="421">
        <v>1200</v>
      </c>
    </row>
    <row r="411" spans="1:16" x14ac:dyDescent="0.3">
      <c r="A411" s="420">
        <v>2</v>
      </c>
      <c r="C411" s="420">
        <f t="shared" si="40"/>
        <v>1</v>
      </c>
      <c r="D411" s="420">
        <f t="shared" si="41"/>
        <v>1</v>
      </c>
      <c r="E411" s="420">
        <f t="shared" si="42"/>
        <v>12</v>
      </c>
      <c r="F411" s="420" t="str">
        <f t="shared" si="43"/>
        <v>pm</v>
      </c>
      <c r="G411" s="419" t="s">
        <v>166</v>
      </c>
      <c r="H411" s="419" t="s">
        <v>1073</v>
      </c>
      <c r="I411" s="420" t="s">
        <v>165</v>
      </c>
      <c r="K411" s="421">
        <f t="shared" si="45"/>
        <v>1200</v>
      </c>
      <c r="M411" s="421">
        <v>1200</v>
      </c>
    </row>
    <row r="412" spans="1:16" x14ac:dyDescent="0.3">
      <c r="A412" s="420">
        <v>2</v>
      </c>
      <c r="C412" s="420">
        <f t="shared" si="40"/>
        <v>2</v>
      </c>
      <c r="D412" s="420">
        <f t="shared" si="41"/>
        <v>1</v>
      </c>
      <c r="E412" s="420">
        <f t="shared" si="42"/>
        <v>12</v>
      </c>
      <c r="F412" s="420" t="str">
        <f t="shared" si="43"/>
        <v>pm</v>
      </c>
      <c r="G412" s="419" t="s">
        <v>168</v>
      </c>
      <c r="H412" s="419" t="s">
        <v>1074</v>
      </c>
      <c r="I412" s="420" t="s">
        <v>167</v>
      </c>
      <c r="K412" s="421">
        <f t="shared" si="45"/>
        <v>1200</v>
      </c>
      <c r="M412" s="421">
        <v>1200</v>
      </c>
    </row>
    <row r="413" spans="1:16" x14ac:dyDescent="0.3">
      <c r="G413" s="419"/>
      <c r="H413" s="419"/>
    </row>
    <row r="414" spans="1:16" x14ac:dyDescent="0.3">
      <c r="A414" s="420">
        <v>2</v>
      </c>
      <c r="C414" s="420">
        <f t="shared" ref="C414:C418" si="46">IF(E414=E413,C413+1,1)</f>
        <v>1</v>
      </c>
      <c r="D414" s="420">
        <f t="shared" ref="D414:D418" si="47">IF(K414=K413,D413,C414)</f>
        <v>1</v>
      </c>
      <c r="E414" s="420">
        <f t="shared" ref="E414:E418" si="48">10+VALUE(RIGHT(LEFT(G414,3),1))</f>
        <v>12</v>
      </c>
      <c r="F414" s="420" t="str">
        <f t="shared" ref="F414:F418" si="49">RIGHT(G414,2) &amp; IF(A414&lt;2,"x","")</f>
        <v>pm</v>
      </c>
      <c r="G414" s="419" t="s">
        <v>146</v>
      </c>
      <c r="H414" s="419" t="s">
        <v>1070</v>
      </c>
      <c r="I414" s="420" t="s">
        <v>145</v>
      </c>
      <c r="K414" s="421">
        <f t="shared" ref="K414:K418" si="50">LOOKUP(1E+100,M414:AB414)</f>
        <v>1200</v>
      </c>
      <c r="M414" s="421">
        <v>1200</v>
      </c>
    </row>
    <row r="415" spans="1:16" x14ac:dyDescent="0.3">
      <c r="A415" s="420">
        <v>2</v>
      </c>
      <c r="C415" s="420">
        <f t="shared" si="46"/>
        <v>1</v>
      </c>
      <c r="D415" s="420">
        <f t="shared" si="47"/>
        <v>1</v>
      </c>
      <c r="E415" s="420">
        <f t="shared" si="48"/>
        <v>11</v>
      </c>
      <c r="F415" s="420" t="str">
        <f t="shared" si="49"/>
        <v>pm</v>
      </c>
      <c r="G415" s="419" t="s">
        <v>148</v>
      </c>
      <c r="H415" s="419" t="s">
        <v>801</v>
      </c>
      <c r="I415" s="420" t="s">
        <v>147</v>
      </c>
      <c r="K415" s="421">
        <f t="shared" si="50"/>
        <v>1200</v>
      </c>
      <c r="M415" s="421">
        <v>1200</v>
      </c>
    </row>
    <row r="416" spans="1:16" x14ac:dyDescent="0.3">
      <c r="A416" s="420">
        <v>2</v>
      </c>
      <c r="C416" s="420">
        <f t="shared" si="46"/>
        <v>1</v>
      </c>
      <c r="D416" s="420">
        <f t="shared" si="47"/>
        <v>1</v>
      </c>
      <c r="E416" s="420">
        <f t="shared" si="48"/>
        <v>12</v>
      </c>
      <c r="F416" s="420" t="str">
        <f t="shared" si="49"/>
        <v>pm</v>
      </c>
      <c r="G416" s="419" t="s">
        <v>150</v>
      </c>
      <c r="H416" s="419" t="s">
        <v>1071</v>
      </c>
      <c r="I416" s="420" t="s">
        <v>149</v>
      </c>
      <c r="K416" s="421">
        <f t="shared" si="50"/>
        <v>1200</v>
      </c>
      <c r="M416" s="421">
        <v>1200</v>
      </c>
    </row>
    <row r="417" spans="1:13" x14ac:dyDescent="0.3">
      <c r="A417" s="420">
        <v>2</v>
      </c>
      <c r="C417" s="420">
        <f t="shared" si="46"/>
        <v>2</v>
      </c>
      <c r="D417" s="420">
        <f t="shared" si="47"/>
        <v>1</v>
      </c>
      <c r="E417" s="420">
        <f t="shared" si="48"/>
        <v>12</v>
      </c>
      <c r="F417" s="420" t="str">
        <f t="shared" si="49"/>
        <v>pm</v>
      </c>
      <c r="G417" s="419" t="s">
        <v>152</v>
      </c>
      <c r="H417" s="419" t="s">
        <v>1071</v>
      </c>
      <c r="I417" s="420" t="s">
        <v>151</v>
      </c>
      <c r="K417" s="421">
        <f t="shared" si="50"/>
        <v>1200</v>
      </c>
      <c r="M417" s="421">
        <v>1200</v>
      </c>
    </row>
    <row r="418" spans="1:13" x14ac:dyDescent="0.3">
      <c r="A418" s="420">
        <v>2</v>
      </c>
      <c r="C418" s="420">
        <f t="shared" si="46"/>
        <v>3</v>
      </c>
      <c r="D418" s="420">
        <f t="shared" si="47"/>
        <v>1</v>
      </c>
      <c r="E418" s="420">
        <f t="shared" si="48"/>
        <v>12</v>
      </c>
      <c r="F418" s="420" t="str">
        <f t="shared" si="49"/>
        <v>pm</v>
      </c>
      <c r="G418" s="419" t="s">
        <v>154</v>
      </c>
      <c r="H418" s="419" t="s">
        <v>1072</v>
      </c>
      <c r="I418" s="420" t="s">
        <v>153</v>
      </c>
      <c r="K418" s="421">
        <f t="shared" si="50"/>
        <v>1200</v>
      </c>
      <c r="M418" s="421">
        <v>1200</v>
      </c>
    </row>
    <row r="419" spans="1:13" x14ac:dyDescent="0.3">
      <c r="G419" s="419"/>
      <c r="H419" s="419"/>
    </row>
    <row r="420" spans="1:13" x14ac:dyDescent="0.3">
      <c r="A420" s="420">
        <v>2</v>
      </c>
      <c r="C420" s="420">
        <f t="shared" ref="C420" si="51">IF(E420=E419,C419+1,1)</f>
        <v>1</v>
      </c>
      <c r="D420" s="420">
        <f t="shared" ref="D420" si="52">IF(K420=K419,D419,C420)</f>
        <v>1</v>
      </c>
      <c r="E420" s="420">
        <f t="shared" ref="E420" si="53">10+VALUE(RIGHT(LEFT(G420,3),1))</f>
        <v>12</v>
      </c>
      <c r="F420" s="420" t="str">
        <f t="shared" ref="F420" si="54">RIGHT(G420,2) &amp; IF(A420&lt;2,"x","")</f>
        <v>pm</v>
      </c>
      <c r="G420" s="419" t="s">
        <v>142</v>
      </c>
      <c r="H420" s="419" t="s">
        <v>1075</v>
      </c>
      <c r="I420" s="420" t="s">
        <v>141</v>
      </c>
      <c r="K420" s="421">
        <f t="shared" ref="K420" si="55">LOOKUP(1E+100,M420:AB420)</f>
        <v>1200</v>
      </c>
      <c r="M420" s="421">
        <v>1200</v>
      </c>
    </row>
    <row r="421" spans="1:13" x14ac:dyDescent="0.3">
      <c r="G421" s="419"/>
      <c r="H421" s="419"/>
    </row>
    <row r="422" spans="1:13" x14ac:dyDescent="0.3">
      <c r="G422" s="419"/>
      <c r="H422" s="419"/>
    </row>
  </sheetData>
  <conditionalFormatting sqref="G1:I1">
    <cfRule type="containsText" dxfId="1330" priority="433" operator="containsText" text="CSRA">
      <formula>NOT(ISERROR(SEARCH("CSRA",G1)))</formula>
    </cfRule>
  </conditionalFormatting>
  <conditionalFormatting sqref="AJ1:XFD403 A1:AG403 AJ423:XFD1048576 A423:AG1048576">
    <cfRule type="expression" dxfId="1329" priority="488">
      <formula>$E1&lt;12</formula>
    </cfRule>
    <cfRule type="expression" dxfId="1328" priority="489">
      <formula>$E1=18</formula>
    </cfRule>
    <cfRule type="expression" dxfId="1327" priority="490">
      <formula>$E1=17</formula>
    </cfRule>
    <cfRule type="expression" dxfId="1326" priority="491">
      <formula>$E1=16</formula>
    </cfRule>
    <cfRule type="expression" dxfId="1325" priority="492">
      <formula>$E1=15</formula>
    </cfRule>
    <cfRule type="expression" dxfId="1324" priority="493">
      <formula>$E1=14</formula>
    </cfRule>
    <cfRule type="expression" dxfId="1323" priority="494">
      <formula>$E1=13</formula>
    </cfRule>
    <cfRule type="expression" dxfId="1322" priority="495">
      <formula>$E1=12</formula>
    </cfRule>
  </conditionalFormatting>
  <conditionalFormatting sqref="AJ1:XFD403 A1:AG403 AJ423:XFD1048576 A423:AG1048576">
    <cfRule type="expression" dxfId="1321" priority="479">
      <formula>$E1=10</formula>
    </cfRule>
    <cfRule type="expression" dxfId="1320" priority="480">
      <formula>$E1=11</formula>
    </cfRule>
    <cfRule type="expression" dxfId="1319" priority="481">
      <formula>$E1=18</formula>
    </cfRule>
    <cfRule type="expression" dxfId="1318" priority="482">
      <formula>$E1=17</formula>
    </cfRule>
    <cfRule type="expression" dxfId="1317" priority="483">
      <formula>$E1=16</formula>
    </cfRule>
    <cfRule type="expression" dxfId="1316" priority="484">
      <formula>$E1=15</formula>
    </cfRule>
    <cfRule type="expression" dxfId="1315" priority="485">
      <formula>$E1=14</formula>
    </cfRule>
    <cfRule type="expression" dxfId="1314" priority="486">
      <formula>$E1=13</formula>
    </cfRule>
    <cfRule type="expression" dxfId="1313" priority="487">
      <formula>$E1=12</formula>
    </cfRule>
  </conditionalFormatting>
  <conditionalFormatting sqref="N255:AG255 AJ255:XFD255">
    <cfRule type="expression" dxfId="1312" priority="470">
      <formula>$E255=10</formula>
    </cfRule>
    <cfRule type="expression" dxfId="1311" priority="471">
      <formula>$E255=11</formula>
    </cfRule>
    <cfRule type="expression" dxfId="1310" priority="472">
      <formula>$E255=18</formula>
    </cfRule>
    <cfRule type="expression" dxfId="1309" priority="473">
      <formula>$E255=17</formula>
    </cfRule>
    <cfRule type="expression" dxfId="1308" priority="474">
      <formula>$E255=16</formula>
    </cfRule>
    <cfRule type="expression" dxfId="1307" priority="475">
      <formula>$E255=15</formula>
    </cfRule>
    <cfRule type="expression" dxfId="1306" priority="476">
      <formula>$E255=14</formula>
    </cfRule>
    <cfRule type="expression" dxfId="1305" priority="477">
      <formula>$E255=13</formula>
    </cfRule>
    <cfRule type="expression" dxfId="1304" priority="478">
      <formula>$E255=12</formula>
    </cfRule>
  </conditionalFormatting>
  <conditionalFormatting sqref="AJ265:XFD268 IW258:XFD263 N265:AG268">
    <cfRule type="expression" dxfId="1303" priority="461">
      <formula>$E258=10</formula>
    </cfRule>
    <cfRule type="expression" dxfId="1302" priority="462">
      <formula>$E258=11</formula>
    </cfRule>
    <cfRule type="expression" dxfId="1301" priority="463">
      <formula>$E258=18</formula>
    </cfRule>
    <cfRule type="expression" dxfId="1300" priority="464">
      <formula>$E258=17</formula>
    </cfRule>
    <cfRule type="expression" dxfId="1299" priority="465">
      <formula>$E258=16</formula>
    </cfRule>
    <cfRule type="expression" dxfId="1298" priority="466">
      <formula>$E258=15</formula>
    </cfRule>
    <cfRule type="expression" dxfId="1297" priority="467">
      <formula>$E258=14</formula>
    </cfRule>
    <cfRule type="expression" dxfId="1296" priority="468">
      <formula>$E258=13</formula>
    </cfRule>
    <cfRule type="expression" dxfId="1295" priority="469">
      <formula>$E258=12</formula>
    </cfRule>
  </conditionalFormatting>
  <conditionalFormatting sqref="N261:AG263 AJ261:IV263">
    <cfRule type="expression" dxfId="1294" priority="452">
      <formula>$E261=10</formula>
    </cfRule>
    <cfRule type="expression" dxfId="1293" priority="453">
      <formula>$E261=11</formula>
    </cfRule>
    <cfRule type="expression" dxfId="1292" priority="454">
      <formula>$E261=18</formula>
    </cfRule>
    <cfRule type="expression" dxfId="1291" priority="455">
      <formula>$E261=17</formula>
    </cfRule>
    <cfRule type="expression" dxfId="1290" priority="456">
      <formula>$E261=16</formula>
    </cfRule>
    <cfRule type="expression" dxfId="1289" priority="457">
      <formula>$E261=15</formula>
    </cfRule>
    <cfRule type="expression" dxfId="1288" priority="458">
      <formula>$E261=14</formula>
    </cfRule>
    <cfRule type="expression" dxfId="1287" priority="459">
      <formula>$E261=13</formula>
    </cfRule>
    <cfRule type="expression" dxfId="1286" priority="460">
      <formula>$E261=12</formula>
    </cfRule>
  </conditionalFormatting>
  <conditionalFormatting sqref="H261">
    <cfRule type="expression" dxfId="1285" priority="397">
      <formula>$E261=10</formula>
    </cfRule>
    <cfRule type="expression" dxfId="1284" priority="398">
      <formula>$E261=11</formula>
    </cfRule>
    <cfRule type="expression" dxfId="1283" priority="399">
      <formula>$E261=18</formula>
    </cfRule>
    <cfRule type="expression" dxfId="1282" priority="400">
      <formula>$E261=17</formula>
    </cfRule>
    <cfRule type="expression" dxfId="1281" priority="401">
      <formula>$E261=16</formula>
    </cfRule>
    <cfRule type="expression" dxfId="1280" priority="402">
      <formula>$E261=15</formula>
    </cfRule>
    <cfRule type="expression" dxfId="1279" priority="403">
      <formula>$E261=14</formula>
    </cfRule>
    <cfRule type="expression" dxfId="1278" priority="404">
      <formula>$E261=13</formula>
    </cfRule>
    <cfRule type="expression" dxfId="1277" priority="405">
      <formula>$E261=12</formula>
    </cfRule>
  </conditionalFormatting>
  <conditionalFormatting sqref="N258:AG260 AJ258:IV260">
    <cfRule type="expression" dxfId="1276" priority="443">
      <formula>$E258=10</formula>
    </cfRule>
    <cfRule type="expression" dxfId="1275" priority="444">
      <formula>$E258=11</formula>
    </cfRule>
    <cfRule type="expression" dxfId="1274" priority="445">
      <formula>$E258=18</formula>
    </cfRule>
    <cfRule type="expression" dxfId="1273" priority="446">
      <formula>$E258=17</formula>
    </cfRule>
    <cfRule type="expression" dxfId="1272" priority="447">
      <formula>$E258=16</formula>
    </cfRule>
    <cfRule type="expression" dxfId="1271" priority="448">
      <formula>$E258=15</formula>
    </cfRule>
    <cfRule type="expression" dxfId="1270" priority="449">
      <formula>$E258=14</formula>
    </cfRule>
    <cfRule type="expression" dxfId="1269" priority="450">
      <formula>$E258=13</formula>
    </cfRule>
    <cfRule type="expression" dxfId="1268" priority="451">
      <formula>$E258=12</formula>
    </cfRule>
  </conditionalFormatting>
  <conditionalFormatting sqref="N264:AG264 AJ264:XFD264">
    <cfRule type="expression" dxfId="1267" priority="434">
      <formula>$E264=10</formula>
    </cfRule>
    <cfRule type="expression" dxfId="1266" priority="435">
      <formula>$E264=11</formula>
    </cfRule>
    <cfRule type="expression" dxfId="1265" priority="436">
      <formula>$E264=18</formula>
    </cfRule>
    <cfRule type="expression" dxfId="1264" priority="437">
      <formula>$E264=17</formula>
    </cfRule>
    <cfRule type="expression" dxfId="1263" priority="438">
      <formula>$E264=16</formula>
    </cfRule>
    <cfRule type="expression" dxfId="1262" priority="439">
      <formula>$E264=15</formula>
    </cfRule>
    <cfRule type="expression" dxfId="1261" priority="440">
      <formula>$E264=14</formula>
    </cfRule>
    <cfRule type="expression" dxfId="1260" priority="441">
      <formula>$E264=13</formula>
    </cfRule>
    <cfRule type="expression" dxfId="1259" priority="442">
      <formula>$E264=12</formula>
    </cfRule>
  </conditionalFormatting>
  <conditionalFormatting sqref="M264">
    <cfRule type="expression" dxfId="1258" priority="370">
      <formula>$E264=10</formula>
    </cfRule>
    <cfRule type="expression" dxfId="1257" priority="371">
      <formula>$E264=11</formula>
    </cfRule>
    <cfRule type="expression" dxfId="1256" priority="372">
      <formula>$E264=18</formula>
    </cfRule>
    <cfRule type="expression" dxfId="1255" priority="373">
      <formula>$E264=17</formula>
    </cfRule>
    <cfRule type="expression" dxfId="1254" priority="374">
      <formula>$E264=16</formula>
    </cfRule>
    <cfRule type="expression" dxfId="1253" priority="375">
      <formula>$E264=15</formula>
    </cfRule>
    <cfRule type="expression" dxfId="1252" priority="376">
      <formula>$E264=14</formula>
    </cfRule>
    <cfRule type="expression" dxfId="1251" priority="377">
      <formula>$E264=13</formula>
    </cfRule>
    <cfRule type="expression" dxfId="1250" priority="378">
      <formula>$E264=12</formula>
    </cfRule>
  </conditionalFormatting>
  <conditionalFormatting sqref="K264">
    <cfRule type="expression" dxfId="1249" priority="361">
      <formula>$E264=10</formula>
    </cfRule>
    <cfRule type="expression" dxfId="1248" priority="362">
      <formula>$E264=11</formula>
    </cfRule>
    <cfRule type="expression" dxfId="1247" priority="363">
      <formula>$E264=18</formula>
    </cfRule>
    <cfRule type="expression" dxfId="1246" priority="364">
      <formula>$E264=17</formula>
    </cfRule>
    <cfRule type="expression" dxfId="1245" priority="365">
      <formula>$E264=16</formula>
    </cfRule>
    <cfRule type="expression" dxfId="1244" priority="366">
      <formula>$E264=15</formula>
    </cfRule>
    <cfRule type="expression" dxfId="1243" priority="367">
      <formula>$E264=14</formula>
    </cfRule>
    <cfRule type="expression" dxfId="1242" priority="368">
      <formula>$E264=13</formula>
    </cfRule>
    <cfRule type="expression" dxfId="1241" priority="369">
      <formula>$E264=12</formula>
    </cfRule>
  </conditionalFormatting>
  <conditionalFormatting sqref="G264">
    <cfRule type="expression" dxfId="1240" priority="352">
      <formula>$E264=10</formula>
    </cfRule>
    <cfRule type="expression" dxfId="1239" priority="353">
      <formula>$E264=11</formula>
    </cfRule>
    <cfRule type="expression" dxfId="1238" priority="354">
      <formula>$E264=18</formula>
    </cfRule>
    <cfRule type="expression" dxfId="1237" priority="355">
      <formula>$E264=17</formula>
    </cfRule>
    <cfRule type="expression" dxfId="1236" priority="356">
      <formula>$E264=16</formula>
    </cfRule>
    <cfRule type="expression" dxfId="1235" priority="357">
      <formula>$E264=15</formula>
    </cfRule>
    <cfRule type="expression" dxfId="1234" priority="358">
      <formula>$E264=14</formula>
    </cfRule>
    <cfRule type="expression" dxfId="1233" priority="359">
      <formula>$E264=13</formula>
    </cfRule>
    <cfRule type="expression" dxfId="1232" priority="360">
      <formula>$E264=12</formula>
    </cfRule>
  </conditionalFormatting>
  <conditionalFormatting sqref="C264:F264">
    <cfRule type="expression" dxfId="1231" priority="343">
      <formula>$E264=10</formula>
    </cfRule>
    <cfRule type="expression" dxfId="1230" priority="344">
      <formula>$E264=11</formula>
    </cfRule>
    <cfRule type="expression" dxfId="1229" priority="345">
      <formula>$E264=18</formula>
    </cfRule>
    <cfRule type="expression" dxfId="1228" priority="346">
      <formula>$E264=17</formula>
    </cfRule>
    <cfRule type="expression" dxfId="1227" priority="347">
      <formula>$E264=16</formula>
    </cfRule>
    <cfRule type="expression" dxfId="1226" priority="348">
      <formula>$E264=15</formula>
    </cfRule>
    <cfRule type="expression" dxfId="1225" priority="349">
      <formula>$E264=14</formula>
    </cfRule>
    <cfRule type="expression" dxfId="1224" priority="350">
      <formula>$E264=13</formula>
    </cfRule>
    <cfRule type="expression" dxfId="1223" priority="351">
      <formula>$E264=12</formula>
    </cfRule>
  </conditionalFormatting>
  <conditionalFormatting sqref="A255:M255">
    <cfRule type="expression" dxfId="1222" priority="424">
      <formula>$E255=10</formula>
    </cfRule>
    <cfRule type="expression" dxfId="1221" priority="425">
      <formula>$E255=11</formula>
    </cfRule>
    <cfRule type="expression" dxfId="1220" priority="426">
      <formula>$E255=18</formula>
    </cfRule>
    <cfRule type="expression" dxfId="1219" priority="427">
      <formula>$E255=17</formula>
    </cfRule>
    <cfRule type="expression" dxfId="1218" priority="428">
      <formula>$E255=16</formula>
    </cfRule>
    <cfRule type="expression" dxfId="1217" priority="429">
      <formula>$E255=15</formula>
    </cfRule>
    <cfRule type="expression" dxfId="1216" priority="430">
      <formula>$E255=14</formula>
    </cfRule>
    <cfRule type="expression" dxfId="1215" priority="431">
      <formula>$E255=13</formula>
    </cfRule>
    <cfRule type="expression" dxfId="1214" priority="432">
      <formula>$E255=12</formula>
    </cfRule>
  </conditionalFormatting>
  <conditionalFormatting sqref="A265:M268">
    <cfRule type="expression" dxfId="1213" priority="415">
      <formula>$E265=10</formula>
    </cfRule>
    <cfRule type="expression" dxfId="1212" priority="416">
      <formula>$E265=11</formula>
    </cfRule>
    <cfRule type="expression" dxfId="1211" priority="417">
      <formula>$E265=18</formula>
    </cfRule>
    <cfRule type="expression" dxfId="1210" priority="418">
      <formula>$E265=17</formula>
    </cfRule>
    <cfRule type="expression" dxfId="1209" priority="419">
      <formula>$E265=16</formula>
    </cfRule>
    <cfRule type="expression" dxfId="1208" priority="420">
      <formula>$E265=15</formula>
    </cfRule>
    <cfRule type="expression" dxfId="1207" priority="421">
      <formula>$E265=14</formula>
    </cfRule>
    <cfRule type="expression" dxfId="1206" priority="422">
      <formula>$E265=13</formula>
    </cfRule>
    <cfRule type="expression" dxfId="1205" priority="423">
      <formula>$E265=12</formula>
    </cfRule>
  </conditionalFormatting>
  <conditionalFormatting sqref="A262:M262 A261:F261 J261:M261 H263 K263:M263 A263:F263">
    <cfRule type="expression" dxfId="1204" priority="406">
      <formula>$E261=10</formula>
    </cfRule>
    <cfRule type="expression" dxfId="1203" priority="407">
      <formula>$E261=11</formula>
    </cfRule>
    <cfRule type="expression" dxfId="1202" priority="408">
      <formula>$E261=18</formula>
    </cfRule>
    <cfRule type="expression" dxfId="1201" priority="409">
      <formula>$E261=17</formula>
    </cfRule>
    <cfRule type="expression" dxfId="1200" priority="410">
      <formula>$E261=16</formula>
    </cfRule>
    <cfRule type="expression" dxfId="1199" priority="411">
      <formula>$E261=15</formula>
    </cfRule>
    <cfRule type="expression" dxfId="1198" priority="412">
      <formula>$E261=14</formula>
    </cfRule>
    <cfRule type="expression" dxfId="1197" priority="413">
      <formula>$E261=13</formula>
    </cfRule>
    <cfRule type="expression" dxfId="1196" priority="414">
      <formula>$E261=12</formula>
    </cfRule>
  </conditionalFormatting>
  <conditionalFormatting sqref="A258:M260">
    <cfRule type="expression" dxfId="1195" priority="388">
      <formula>$E258=10</formula>
    </cfRule>
    <cfRule type="expression" dxfId="1194" priority="389">
      <formula>$E258=11</formula>
    </cfRule>
    <cfRule type="expression" dxfId="1193" priority="390">
      <formula>$E258=18</formula>
    </cfRule>
    <cfRule type="expression" dxfId="1192" priority="391">
      <formula>$E258=17</formula>
    </cfRule>
    <cfRule type="expression" dxfId="1191" priority="392">
      <formula>$E258=16</formula>
    </cfRule>
    <cfRule type="expression" dxfId="1190" priority="393">
      <formula>$E258=15</formula>
    </cfRule>
    <cfRule type="expression" dxfId="1189" priority="394">
      <formula>$E258=14</formula>
    </cfRule>
    <cfRule type="expression" dxfId="1188" priority="395">
      <formula>$E258=13</formula>
    </cfRule>
    <cfRule type="expression" dxfId="1187" priority="396">
      <formula>$E258=12</formula>
    </cfRule>
  </conditionalFormatting>
  <conditionalFormatting sqref="A264:B264 J264 L264 H264">
    <cfRule type="expression" dxfId="1186" priority="379">
      <formula>$E264=10</formula>
    </cfRule>
    <cfRule type="expression" dxfId="1185" priority="380">
      <formula>$E264=11</formula>
    </cfRule>
    <cfRule type="expression" dxfId="1184" priority="381">
      <formula>$E264=18</formula>
    </cfRule>
    <cfRule type="expression" dxfId="1183" priority="382">
      <formula>$E264=17</formula>
    </cfRule>
    <cfRule type="expression" dxfId="1182" priority="383">
      <formula>$E264=16</formula>
    </cfRule>
    <cfRule type="expression" dxfId="1181" priority="384">
      <formula>$E264=15</formula>
    </cfRule>
    <cfRule type="expression" dxfId="1180" priority="385">
      <formula>$E264=14</formula>
    </cfRule>
    <cfRule type="expression" dxfId="1179" priority="386">
      <formula>$E264=13</formula>
    </cfRule>
    <cfRule type="expression" dxfId="1178" priority="387">
      <formula>$E264=12</formula>
    </cfRule>
  </conditionalFormatting>
  <conditionalFormatting sqref="AJ404:XFD404 N404:AG404">
    <cfRule type="expression" dxfId="1143" priority="301">
      <formula>$E404&lt;12</formula>
    </cfRule>
    <cfRule type="expression" dxfId="1142" priority="302">
      <formula>$E404=18</formula>
    </cfRule>
    <cfRule type="expression" dxfId="1141" priority="303">
      <formula>$E404=17</formula>
    </cfRule>
    <cfRule type="expression" dxfId="1140" priority="304">
      <formula>$E404=16</formula>
    </cfRule>
    <cfRule type="expression" dxfId="1139" priority="305">
      <formula>$E404=15</formula>
    </cfRule>
    <cfRule type="expression" dxfId="1138" priority="306">
      <formula>$E404=14</formula>
    </cfRule>
    <cfRule type="expression" dxfId="1137" priority="307">
      <formula>$E404=13</formula>
    </cfRule>
    <cfRule type="expression" dxfId="1136" priority="308">
      <formula>$E404=12</formula>
    </cfRule>
  </conditionalFormatting>
  <conditionalFormatting sqref="AJ404:XFD404 N404:AG404">
    <cfRule type="expression" dxfId="1135" priority="292">
      <formula>$E404=10</formula>
    </cfRule>
    <cfRule type="expression" dxfId="1134" priority="293">
      <formula>$E404=11</formula>
    </cfRule>
    <cfRule type="expression" dxfId="1133" priority="294">
      <formula>$E404=18</formula>
    </cfRule>
    <cfRule type="expression" dxfId="1132" priority="295">
      <formula>$E404=17</formula>
    </cfRule>
    <cfRule type="expression" dxfId="1131" priority="296">
      <formula>$E404=16</formula>
    </cfRule>
    <cfRule type="expression" dxfId="1130" priority="297">
      <formula>$E404=15</formula>
    </cfRule>
    <cfRule type="expression" dxfId="1129" priority="298">
      <formula>$E404=14</formula>
    </cfRule>
    <cfRule type="expression" dxfId="1128" priority="299">
      <formula>$E404=13</formula>
    </cfRule>
    <cfRule type="expression" dxfId="1127" priority="300">
      <formula>$E404=12</formula>
    </cfRule>
  </conditionalFormatting>
  <conditionalFormatting sqref="K404">
    <cfRule type="expression" dxfId="1126" priority="266">
      <formula>$E404=10</formula>
    </cfRule>
    <cfRule type="expression" dxfId="1125" priority="267">
      <formula>$E404=11</formula>
    </cfRule>
    <cfRule type="expression" dxfId="1124" priority="268">
      <formula>$E404=18</formula>
    </cfRule>
    <cfRule type="expression" dxfId="1123" priority="269">
      <formula>$E404=17</formula>
    </cfRule>
    <cfRule type="expression" dxfId="1122" priority="270">
      <formula>$E404=16</formula>
    </cfRule>
    <cfRule type="expression" dxfId="1121" priority="271">
      <formula>$E404=15</formula>
    </cfRule>
    <cfRule type="expression" dxfId="1120" priority="272">
      <formula>$E404=14</formula>
    </cfRule>
    <cfRule type="expression" dxfId="1119" priority="273">
      <formula>$E404=13</formula>
    </cfRule>
    <cfRule type="expression" dxfId="1118" priority="274">
      <formula>$E404=12</formula>
    </cfRule>
  </conditionalFormatting>
  <conditionalFormatting sqref="A404:M404">
    <cfRule type="expression" dxfId="1117" priority="284">
      <formula>$E404&lt;12</formula>
    </cfRule>
    <cfRule type="expression" dxfId="1116" priority="285">
      <formula>$E404=18</formula>
    </cfRule>
    <cfRule type="expression" dxfId="1115" priority="286">
      <formula>$E404=17</formula>
    </cfRule>
    <cfRule type="expression" dxfId="1114" priority="287">
      <formula>$E404=16</formula>
    </cfRule>
    <cfRule type="expression" dxfId="1113" priority="288">
      <formula>$E404=15</formula>
    </cfRule>
    <cfRule type="expression" dxfId="1112" priority="289">
      <formula>$E404=14</formula>
    </cfRule>
    <cfRule type="expression" dxfId="1111" priority="290">
      <formula>$E404=13</formula>
    </cfRule>
    <cfRule type="expression" dxfId="1110" priority="291">
      <formula>$E404=12</formula>
    </cfRule>
  </conditionalFormatting>
  <conditionalFormatting sqref="A404:M404">
    <cfRule type="expression" dxfId="1109" priority="275">
      <formula>$E404=10</formula>
    </cfRule>
    <cfRule type="expression" dxfId="1108" priority="276">
      <formula>$E404=11</formula>
    </cfRule>
    <cfRule type="expression" dxfId="1107" priority="277">
      <formula>$E404=18</formula>
    </cfRule>
    <cfRule type="expression" dxfId="1106" priority="278">
      <formula>$E404=17</formula>
    </cfRule>
    <cfRule type="expression" dxfId="1105" priority="279">
      <formula>$E404=16</formula>
    </cfRule>
    <cfRule type="expression" dxfId="1104" priority="280">
      <formula>$E404=15</formula>
    </cfRule>
    <cfRule type="expression" dxfId="1103" priority="281">
      <formula>$E404=14</formula>
    </cfRule>
    <cfRule type="expression" dxfId="1102" priority="282">
      <formula>$E404=13</formula>
    </cfRule>
    <cfRule type="expression" dxfId="1101" priority="283">
      <formula>$E404=12</formula>
    </cfRule>
  </conditionalFormatting>
  <conditionalFormatting sqref="AJ405:XFD405 N405:AG405">
    <cfRule type="expression" dxfId="1100" priority="258">
      <formula>$E405&lt;12</formula>
    </cfRule>
    <cfRule type="expression" dxfId="1099" priority="259">
      <formula>$E405=18</formula>
    </cfRule>
    <cfRule type="expression" dxfId="1098" priority="260">
      <formula>$E405=17</formula>
    </cfRule>
    <cfRule type="expression" dxfId="1097" priority="261">
      <formula>$E405=16</formula>
    </cfRule>
    <cfRule type="expression" dxfId="1096" priority="262">
      <formula>$E405=15</formula>
    </cfRule>
    <cfRule type="expression" dxfId="1095" priority="263">
      <formula>$E405=14</formula>
    </cfRule>
    <cfRule type="expression" dxfId="1094" priority="264">
      <formula>$E405=13</formula>
    </cfRule>
    <cfRule type="expression" dxfId="1093" priority="265">
      <formula>$E405=12</formula>
    </cfRule>
  </conditionalFormatting>
  <conditionalFormatting sqref="AJ405:XFD405 N405:AG405">
    <cfRule type="expression" dxfId="1092" priority="249">
      <formula>$E405=10</formula>
    </cfRule>
    <cfRule type="expression" dxfId="1091" priority="250">
      <formula>$E405=11</formula>
    </cfRule>
    <cfRule type="expression" dxfId="1090" priority="251">
      <formula>$E405=18</formula>
    </cfRule>
    <cfRule type="expression" dxfId="1089" priority="252">
      <formula>$E405=17</formula>
    </cfRule>
    <cfRule type="expression" dxfId="1088" priority="253">
      <formula>$E405=16</formula>
    </cfRule>
    <cfRule type="expression" dxfId="1087" priority="254">
      <formula>$E405=15</formula>
    </cfRule>
    <cfRule type="expression" dxfId="1086" priority="255">
      <formula>$E405=14</formula>
    </cfRule>
    <cfRule type="expression" dxfId="1085" priority="256">
      <formula>$E405=13</formula>
    </cfRule>
    <cfRule type="expression" dxfId="1084" priority="257">
      <formula>$E405=12</formula>
    </cfRule>
  </conditionalFormatting>
  <conditionalFormatting sqref="G405:J405 L405:M405">
    <cfRule type="expression" dxfId="1083" priority="241">
      <formula>$E405&lt;12</formula>
    </cfRule>
    <cfRule type="expression" dxfId="1082" priority="242">
      <formula>$E405=18</formula>
    </cfRule>
    <cfRule type="expression" dxfId="1081" priority="243">
      <formula>$E405=17</formula>
    </cfRule>
    <cfRule type="expression" dxfId="1080" priority="244">
      <formula>$E405=16</formula>
    </cfRule>
    <cfRule type="expression" dxfId="1079" priority="245">
      <formula>$E405=15</formula>
    </cfRule>
    <cfRule type="expression" dxfId="1078" priority="246">
      <formula>$E405=14</formula>
    </cfRule>
    <cfRule type="expression" dxfId="1077" priority="247">
      <formula>$E405=13</formula>
    </cfRule>
    <cfRule type="expression" dxfId="1076" priority="248">
      <formula>$E405=12</formula>
    </cfRule>
  </conditionalFormatting>
  <conditionalFormatting sqref="G405:J405 L405:M405">
    <cfRule type="expression" dxfId="1075" priority="232">
      <formula>$E405=10</formula>
    </cfRule>
    <cfRule type="expression" dxfId="1074" priority="233">
      <formula>$E405=11</formula>
    </cfRule>
    <cfRule type="expression" dxfId="1073" priority="234">
      <formula>$E405=18</formula>
    </cfRule>
    <cfRule type="expression" dxfId="1072" priority="235">
      <formula>$E405=17</formula>
    </cfRule>
    <cfRule type="expression" dxfId="1071" priority="236">
      <formula>$E405=16</formula>
    </cfRule>
    <cfRule type="expression" dxfId="1070" priority="237">
      <formula>$E405=15</formula>
    </cfRule>
    <cfRule type="expression" dxfId="1069" priority="238">
      <formula>$E405=14</formula>
    </cfRule>
    <cfRule type="expression" dxfId="1068" priority="239">
      <formula>$E405=13</formula>
    </cfRule>
    <cfRule type="expression" dxfId="1067" priority="240">
      <formula>$E405=12</formula>
    </cfRule>
  </conditionalFormatting>
  <conditionalFormatting sqref="A405:F405">
    <cfRule type="expression" dxfId="1066" priority="224">
      <formula>$E405&lt;12</formula>
    </cfRule>
    <cfRule type="expression" dxfId="1065" priority="225">
      <formula>$E405=18</formula>
    </cfRule>
    <cfRule type="expression" dxfId="1064" priority="226">
      <formula>$E405=17</formula>
    </cfRule>
    <cfRule type="expression" dxfId="1063" priority="227">
      <formula>$E405=16</formula>
    </cfRule>
    <cfRule type="expression" dxfId="1062" priority="228">
      <formula>$E405=15</formula>
    </cfRule>
    <cfRule type="expression" dxfId="1061" priority="229">
      <formula>$E405=14</formula>
    </cfRule>
    <cfRule type="expression" dxfId="1060" priority="230">
      <formula>$E405=13</formula>
    </cfRule>
    <cfRule type="expression" dxfId="1059" priority="231">
      <formula>$E405=12</formula>
    </cfRule>
  </conditionalFormatting>
  <conditionalFormatting sqref="A405:F405">
    <cfRule type="expression" dxfId="1058" priority="215">
      <formula>$E405=10</formula>
    </cfRule>
    <cfRule type="expression" dxfId="1057" priority="216">
      <formula>$E405=11</formula>
    </cfRule>
    <cfRule type="expression" dxfId="1056" priority="217">
      <formula>$E405=18</formula>
    </cfRule>
    <cfRule type="expression" dxfId="1055" priority="218">
      <formula>$E405=17</formula>
    </cfRule>
    <cfRule type="expression" dxfId="1054" priority="219">
      <formula>$E405=16</formula>
    </cfRule>
    <cfRule type="expression" dxfId="1053" priority="220">
      <formula>$E405=15</formula>
    </cfRule>
    <cfRule type="expression" dxfId="1052" priority="221">
      <formula>$E405=14</formula>
    </cfRule>
    <cfRule type="expression" dxfId="1051" priority="222">
      <formula>$E405=13</formula>
    </cfRule>
    <cfRule type="expression" dxfId="1050" priority="223">
      <formula>$E405=12</formula>
    </cfRule>
  </conditionalFormatting>
  <conditionalFormatting sqref="K405">
    <cfRule type="expression" dxfId="1049" priority="189">
      <formula>$E405=10</formula>
    </cfRule>
    <cfRule type="expression" dxfId="1048" priority="190">
      <formula>$E405=11</formula>
    </cfRule>
    <cfRule type="expression" dxfId="1047" priority="191">
      <formula>$E405=18</formula>
    </cfRule>
    <cfRule type="expression" dxfId="1046" priority="192">
      <formula>$E405=17</formula>
    </cfRule>
    <cfRule type="expression" dxfId="1045" priority="193">
      <formula>$E405=16</formula>
    </cfRule>
    <cfRule type="expression" dxfId="1044" priority="194">
      <formula>$E405=15</formula>
    </cfRule>
    <cfRule type="expression" dxfId="1043" priority="195">
      <formula>$E405=14</formula>
    </cfRule>
    <cfRule type="expression" dxfId="1042" priority="196">
      <formula>$E405=13</formula>
    </cfRule>
    <cfRule type="expression" dxfId="1041" priority="197">
      <formula>$E405=12</formula>
    </cfRule>
  </conditionalFormatting>
  <conditionalFormatting sqref="K405">
    <cfRule type="expression" dxfId="1040" priority="207">
      <formula>$E405&lt;12</formula>
    </cfRule>
    <cfRule type="expression" dxfId="1039" priority="208">
      <formula>$E405=18</formula>
    </cfRule>
    <cfRule type="expression" dxfId="1038" priority="209">
      <formula>$E405=17</formula>
    </cfRule>
    <cfRule type="expression" dxfId="1037" priority="210">
      <formula>$E405=16</formula>
    </cfRule>
    <cfRule type="expression" dxfId="1036" priority="211">
      <formula>$E405=15</formula>
    </cfRule>
    <cfRule type="expression" dxfId="1035" priority="212">
      <formula>$E405=14</formula>
    </cfRule>
    <cfRule type="expression" dxfId="1034" priority="213">
      <formula>$E405=13</formula>
    </cfRule>
    <cfRule type="expression" dxfId="1033" priority="214">
      <formula>$E405=12</formula>
    </cfRule>
  </conditionalFormatting>
  <conditionalFormatting sqref="K405">
    <cfRule type="expression" dxfId="1032" priority="198">
      <formula>$E405=10</formula>
    </cfRule>
    <cfRule type="expression" dxfId="1031" priority="199">
      <formula>$E405=11</formula>
    </cfRule>
    <cfRule type="expression" dxfId="1030" priority="200">
      <formula>$E405=18</formula>
    </cfRule>
    <cfRule type="expression" dxfId="1029" priority="201">
      <formula>$E405=17</formula>
    </cfRule>
    <cfRule type="expression" dxfId="1028" priority="202">
      <formula>$E405=16</formula>
    </cfRule>
    <cfRule type="expression" dxfId="1027" priority="203">
      <formula>$E405=15</formula>
    </cfRule>
    <cfRule type="expression" dxfId="1026" priority="204">
      <formula>$E405=14</formula>
    </cfRule>
    <cfRule type="expression" dxfId="1025" priority="205">
      <formula>$E405=13</formula>
    </cfRule>
    <cfRule type="expression" dxfId="1024" priority="206">
      <formula>$E405=12</formula>
    </cfRule>
  </conditionalFormatting>
  <conditionalFormatting sqref="AJ406:XFD422 N406:AG422">
    <cfRule type="expression" dxfId="76" priority="70">
      <formula>$E406&lt;12</formula>
    </cfRule>
    <cfRule type="expression" dxfId="75" priority="71">
      <formula>$E406=18</formula>
    </cfRule>
    <cfRule type="expression" dxfId="74" priority="72">
      <formula>$E406=17</formula>
    </cfRule>
    <cfRule type="expression" dxfId="73" priority="73">
      <formula>$E406=16</formula>
    </cfRule>
    <cfRule type="expression" dxfId="72" priority="74">
      <formula>$E406=15</formula>
    </cfRule>
    <cfRule type="expression" dxfId="71" priority="75">
      <formula>$E406=14</formula>
    </cfRule>
    <cfRule type="expression" dxfId="70" priority="76">
      <formula>$E406=13</formula>
    </cfRule>
    <cfRule type="expression" dxfId="69" priority="77">
      <formula>$E406=12</formula>
    </cfRule>
  </conditionalFormatting>
  <conditionalFormatting sqref="AJ406:XFD422 N406:AG422">
    <cfRule type="expression" dxfId="68" priority="61">
      <formula>$E406=10</formula>
    </cfRule>
    <cfRule type="expression" dxfId="67" priority="62">
      <formula>$E406=11</formula>
    </cfRule>
    <cfRule type="expression" dxfId="66" priority="63">
      <formula>$E406=18</formula>
    </cfRule>
    <cfRule type="expression" dxfId="65" priority="64">
      <formula>$E406=17</formula>
    </cfRule>
    <cfRule type="expression" dxfId="64" priority="65">
      <formula>$E406=16</formula>
    </cfRule>
    <cfRule type="expression" dxfId="63" priority="66">
      <formula>$E406=15</formula>
    </cfRule>
    <cfRule type="expression" dxfId="62" priority="67">
      <formula>$E406=14</formula>
    </cfRule>
    <cfRule type="expression" dxfId="61" priority="68">
      <formula>$E406=13</formula>
    </cfRule>
    <cfRule type="expression" dxfId="60" priority="69">
      <formula>$E406=12</formula>
    </cfRule>
  </conditionalFormatting>
  <conditionalFormatting sqref="G406:J422 L406:M422">
    <cfRule type="expression" dxfId="59" priority="53">
      <formula>$E406&lt;12</formula>
    </cfRule>
    <cfRule type="expression" dxfId="58" priority="54">
      <formula>$E406=18</formula>
    </cfRule>
    <cfRule type="expression" dxfId="57" priority="55">
      <formula>$E406=17</formula>
    </cfRule>
    <cfRule type="expression" dxfId="56" priority="56">
      <formula>$E406=16</formula>
    </cfRule>
    <cfRule type="expression" dxfId="55" priority="57">
      <formula>$E406=15</formula>
    </cfRule>
    <cfRule type="expression" dxfId="54" priority="58">
      <formula>$E406=14</formula>
    </cfRule>
    <cfRule type="expression" dxfId="53" priority="59">
      <formula>$E406=13</formula>
    </cfRule>
    <cfRule type="expression" dxfId="52" priority="60">
      <formula>$E406=12</formula>
    </cfRule>
  </conditionalFormatting>
  <conditionalFormatting sqref="G406:J422 L406:M422">
    <cfRule type="expression" dxfId="51" priority="44">
      <formula>$E406=10</formula>
    </cfRule>
    <cfRule type="expression" dxfId="50" priority="45">
      <formula>$E406=11</formula>
    </cfRule>
    <cfRule type="expression" dxfId="49" priority="46">
      <formula>$E406=18</formula>
    </cfRule>
    <cfRule type="expression" dxfId="48" priority="47">
      <formula>$E406=17</formula>
    </cfRule>
    <cfRule type="expression" dxfId="47" priority="48">
      <formula>$E406=16</formula>
    </cfRule>
    <cfRule type="expression" dxfId="46" priority="49">
      <formula>$E406=15</formula>
    </cfRule>
    <cfRule type="expression" dxfId="45" priority="50">
      <formula>$E406=14</formula>
    </cfRule>
    <cfRule type="expression" dxfId="44" priority="51">
      <formula>$E406=13</formula>
    </cfRule>
    <cfRule type="expression" dxfId="43" priority="52">
      <formula>$E406=12</formula>
    </cfRule>
  </conditionalFormatting>
  <conditionalFormatting sqref="A406:F422">
    <cfRule type="expression" dxfId="42" priority="36">
      <formula>$E406&lt;12</formula>
    </cfRule>
    <cfRule type="expression" dxfId="41" priority="37">
      <formula>$E406=18</formula>
    </cfRule>
    <cfRule type="expression" dxfId="40" priority="38">
      <formula>$E406=17</formula>
    </cfRule>
    <cfRule type="expression" dxfId="39" priority="39">
      <formula>$E406=16</formula>
    </cfRule>
    <cfRule type="expression" dxfId="38" priority="40">
      <formula>$E406=15</formula>
    </cfRule>
    <cfRule type="expression" dxfId="37" priority="41">
      <formula>$E406=14</formula>
    </cfRule>
    <cfRule type="expression" dxfId="36" priority="42">
      <formula>$E406=13</formula>
    </cfRule>
    <cfRule type="expression" dxfId="35" priority="43">
      <formula>$E406=12</formula>
    </cfRule>
  </conditionalFormatting>
  <conditionalFormatting sqref="A406:F422">
    <cfRule type="expression" dxfId="34" priority="27">
      <formula>$E406=10</formula>
    </cfRule>
    <cfRule type="expression" dxfId="33" priority="28">
      <formula>$E406=11</formula>
    </cfRule>
    <cfRule type="expression" dxfId="32" priority="29">
      <formula>$E406=18</formula>
    </cfRule>
    <cfRule type="expression" dxfId="31" priority="30">
      <formula>$E406=17</formula>
    </cfRule>
    <cfRule type="expression" dxfId="30" priority="31">
      <formula>$E406=16</formula>
    </cfRule>
    <cfRule type="expression" dxfId="29" priority="32">
      <formula>$E406=15</formula>
    </cfRule>
    <cfRule type="expression" dxfId="28" priority="33">
      <formula>$E406=14</formula>
    </cfRule>
    <cfRule type="expression" dxfId="27" priority="34">
      <formula>$E406=13</formula>
    </cfRule>
    <cfRule type="expression" dxfId="26" priority="35">
      <formula>$E406=12</formula>
    </cfRule>
  </conditionalFormatting>
  <conditionalFormatting sqref="K406:K422">
    <cfRule type="expression" dxfId="25" priority="1">
      <formula>$E406=10</formula>
    </cfRule>
    <cfRule type="expression" dxfId="24" priority="2">
      <formula>$E406=11</formula>
    </cfRule>
    <cfRule type="expression" dxfId="23" priority="3">
      <formula>$E406=18</formula>
    </cfRule>
    <cfRule type="expression" dxfId="22" priority="4">
      <formula>$E406=17</formula>
    </cfRule>
    <cfRule type="expression" dxfId="21" priority="5">
      <formula>$E406=16</formula>
    </cfRule>
    <cfRule type="expression" dxfId="20" priority="6">
      <formula>$E406=15</formula>
    </cfRule>
    <cfRule type="expression" dxfId="19" priority="7">
      <formula>$E406=14</formula>
    </cfRule>
    <cfRule type="expression" dxfId="18" priority="8">
      <formula>$E406=13</formula>
    </cfRule>
    <cfRule type="expression" dxfId="17" priority="9">
      <formula>$E406=12</formula>
    </cfRule>
  </conditionalFormatting>
  <conditionalFormatting sqref="K406:K422">
    <cfRule type="expression" dxfId="16" priority="19">
      <formula>$E406&lt;12</formula>
    </cfRule>
    <cfRule type="expression" dxfId="15" priority="20">
      <formula>$E406=18</formula>
    </cfRule>
    <cfRule type="expression" dxfId="14" priority="21">
      <formula>$E406=17</formula>
    </cfRule>
    <cfRule type="expression" dxfId="13" priority="22">
      <formula>$E406=16</formula>
    </cfRule>
    <cfRule type="expression" dxfId="12" priority="23">
      <formula>$E406=15</formula>
    </cfRule>
    <cfRule type="expression" dxfId="11" priority="24">
      <formula>$E406=14</formula>
    </cfRule>
    <cfRule type="expression" dxfId="10" priority="25">
      <formula>$E406=13</formula>
    </cfRule>
    <cfRule type="expression" dxfId="9" priority="26">
      <formula>$E406=12</formula>
    </cfRule>
  </conditionalFormatting>
  <conditionalFormatting sqref="K406:K422">
    <cfRule type="expression" dxfId="8" priority="10">
      <formula>$E406=10</formula>
    </cfRule>
    <cfRule type="expression" dxfId="7" priority="11">
      <formula>$E406=11</formula>
    </cfRule>
    <cfRule type="expression" dxfId="6" priority="12">
      <formula>$E406=18</formula>
    </cfRule>
    <cfRule type="expression" dxfId="5" priority="13">
      <formula>$E406=17</formula>
    </cfRule>
    <cfRule type="expression" dxfId="4" priority="14">
      <formula>$E406=16</formula>
    </cfRule>
    <cfRule type="expression" dxfId="3" priority="15">
      <formula>$E406=15</formula>
    </cfRule>
    <cfRule type="expression" dxfId="2" priority="16">
      <formula>$E406=14</formula>
    </cfRule>
    <cfRule type="expression" dxfId="1" priority="17">
      <formula>$E406=13</formula>
    </cfRule>
    <cfRule type="expression" dxfId="0" priority="18">
      <formula>$E406=12</formula>
    </cfRule>
  </conditionalFormatting>
  <hyperlinks>
    <hyperlink ref="I353" r:id="rId1" display="https://aes1.advancedeventsystems.com/Event/Volleyball/EventTeamInfo.aspx?ZCruShzPjMGv6cuivzEZ3bdHnxan7utPe-38b2URl8mzU62jttSjG3kENzzLrFO5DJ2gC4tYCpITNOPe7kWQLp22OSbVlCGBuLUYcUJcvMs1mfXaIumiL4opmJlO0to20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0"/>
  <sheetViews>
    <sheetView workbookViewId="0">
      <pane ySplit="1" topLeftCell="A27" activePane="bottomLeft" state="frozen"/>
      <selection pane="bottomLeft" activeCell="P53" sqref="P53:P61"/>
    </sheetView>
  </sheetViews>
  <sheetFormatPr defaultColWidth="9.109375" defaultRowHeight="14.4" x14ac:dyDescent="0.3"/>
  <cols>
    <col min="1" max="1" width="5.44140625" style="420" customWidth="1"/>
    <col min="2" max="2" width="2" style="420" customWidth="1"/>
    <col min="3" max="3" width="3" style="420" customWidth="1"/>
    <col min="4" max="4" width="5.33203125" style="420" customWidth="1"/>
    <col min="5" max="5" width="4.44140625" style="420" customWidth="1"/>
    <col min="6" max="6" width="7.109375" style="420" customWidth="1"/>
    <col min="7" max="7" width="13.88671875" style="420" customWidth="1"/>
    <col min="8" max="8" width="36.88671875" style="420" customWidth="1"/>
    <col min="9" max="9" width="28.44140625" style="420" customWidth="1"/>
    <col min="10" max="10" width="5.6640625" style="420" customWidth="1"/>
    <col min="11" max="11" width="13.88671875" style="421" customWidth="1"/>
    <col min="12" max="12" width="5" style="420" customWidth="1"/>
    <col min="13" max="13" width="10" style="421" customWidth="1"/>
    <col min="14" max="27" width="7.5546875" style="420" customWidth="1"/>
    <col min="28" max="33" width="9.109375" style="420"/>
    <col min="34" max="35" width="12" style="424" customWidth="1"/>
    <col min="36" max="16384" width="9.109375" style="420"/>
  </cols>
  <sheetData>
    <row r="1" spans="1:27" ht="27" x14ac:dyDescent="0.3">
      <c r="A1" s="419" t="s">
        <v>169</v>
      </c>
      <c r="C1" s="420" t="s">
        <v>170</v>
      </c>
      <c r="D1" s="420" t="s">
        <v>171</v>
      </c>
      <c r="E1" s="420" t="s">
        <v>15</v>
      </c>
      <c r="F1" s="420" t="s">
        <v>172</v>
      </c>
      <c r="G1" s="420" t="s">
        <v>173</v>
      </c>
      <c r="H1" s="420" t="s">
        <v>174</v>
      </c>
      <c r="I1" s="420" t="s">
        <v>8</v>
      </c>
      <c r="J1" s="420" t="s">
        <v>175</v>
      </c>
      <c r="K1" s="421" t="s">
        <v>176</v>
      </c>
      <c r="M1" s="421" t="s">
        <v>88</v>
      </c>
      <c r="N1" s="422" t="s">
        <v>177</v>
      </c>
      <c r="O1" s="422" t="s">
        <v>178</v>
      </c>
      <c r="P1" s="422" t="s">
        <v>179</v>
      </c>
      <c r="Q1" s="422" t="s">
        <v>180</v>
      </c>
      <c r="R1" s="422" t="s">
        <v>181</v>
      </c>
      <c r="S1" s="422" t="s">
        <v>182</v>
      </c>
      <c r="T1" s="422" t="s">
        <v>183</v>
      </c>
      <c r="U1" s="422" t="s">
        <v>184</v>
      </c>
      <c r="V1" s="422" t="s">
        <v>185</v>
      </c>
      <c r="W1" s="422" t="s">
        <v>186</v>
      </c>
      <c r="X1" s="422" t="s">
        <v>187</v>
      </c>
      <c r="Y1" s="422" t="s">
        <v>188</v>
      </c>
      <c r="Z1" s="422" t="s">
        <v>189</v>
      </c>
      <c r="AA1" s="422" t="s">
        <v>190</v>
      </c>
    </row>
    <row r="2" spans="1:27" x14ac:dyDescent="0.3">
      <c r="A2" s="420">
        <v>2</v>
      </c>
      <c r="C2" s="420">
        <f t="shared" ref="C2:C65" si="0">IF(E2=E1,C1+1,1)</f>
        <v>1</v>
      </c>
      <c r="D2" s="420">
        <f t="shared" ref="D2:D65" si="1">IF(K2=K1,D1,C2)</f>
        <v>1</v>
      </c>
      <c r="E2" s="420">
        <f t="shared" ref="E2:E65" si="2">10+VALUE(RIGHT(LEFT(G2,3),1))</f>
        <v>11</v>
      </c>
      <c r="F2" s="420" t="str">
        <f t="shared" ref="F2:F65" si="3">RIGHT(G2,2) &amp; IF(A2&lt;2,"x","")</f>
        <v>pm</v>
      </c>
      <c r="G2" s="420" t="s">
        <v>191</v>
      </c>
      <c r="H2" s="420" t="s">
        <v>192</v>
      </c>
      <c r="I2" s="420" t="s">
        <v>193</v>
      </c>
      <c r="K2" s="421">
        <f t="shared" ref="K2:K65" si="4">LOOKUP(1E+100,M2:AB2)</f>
        <v>1545.059815930156</v>
      </c>
      <c r="M2" s="421">
        <v>1600</v>
      </c>
      <c r="P2" s="420">
        <v>1545.059815930156</v>
      </c>
    </row>
    <row r="3" spans="1:27" x14ac:dyDescent="0.3">
      <c r="A3" s="420">
        <v>2</v>
      </c>
      <c r="C3" s="420">
        <f t="shared" si="0"/>
        <v>2</v>
      </c>
      <c r="D3" s="420">
        <f t="shared" si="1"/>
        <v>2</v>
      </c>
      <c r="E3" s="420">
        <f t="shared" si="2"/>
        <v>11</v>
      </c>
      <c r="F3" s="420" t="str">
        <f t="shared" si="3"/>
        <v>pm</v>
      </c>
      <c r="G3" s="420" t="s">
        <v>194</v>
      </c>
      <c r="H3" s="420" t="s">
        <v>192</v>
      </c>
      <c r="I3" s="420" t="s">
        <v>195</v>
      </c>
      <c r="K3" s="421">
        <f t="shared" si="4"/>
        <v>1493.4578356862332</v>
      </c>
      <c r="M3" s="421">
        <v>1600</v>
      </c>
      <c r="P3" s="420">
        <v>1493.4578356862332</v>
      </c>
    </row>
    <row r="4" spans="1:27" x14ac:dyDescent="0.3">
      <c r="A4" s="420">
        <v>2</v>
      </c>
      <c r="C4" s="420">
        <f t="shared" si="0"/>
        <v>3</v>
      </c>
      <c r="D4" s="420">
        <f t="shared" si="1"/>
        <v>3</v>
      </c>
      <c r="E4" s="420">
        <f t="shared" si="2"/>
        <v>11</v>
      </c>
      <c r="F4" s="420" t="str">
        <f t="shared" si="3"/>
        <v>cr</v>
      </c>
      <c r="G4" s="420" t="s">
        <v>196</v>
      </c>
      <c r="H4" s="420" t="s">
        <v>197</v>
      </c>
      <c r="I4" s="420" t="s">
        <v>198</v>
      </c>
      <c r="K4" s="421">
        <f t="shared" si="4"/>
        <v>1300</v>
      </c>
      <c r="M4" s="421">
        <v>1300</v>
      </c>
    </row>
    <row r="5" spans="1:27" x14ac:dyDescent="0.3">
      <c r="A5" s="420">
        <v>2</v>
      </c>
      <c r="C5" s="420">
        <f t="shared" si="0"/>
        <v>4</v>
      </c>
      <c r="D5" s="420">
        <f t="shared" si="1"/>
        <v>4</v>
      </c>
      <c r="E5" s="420">
        <f t="shared" si="2"/>
        <v>11</v>
      </c>
      <c r="F5" s="420" t="str">
        <f t="shared" si="3"/>
        <v>pm</v>
      </c>
      <c r="G5" s="420" t="s">
        <v>199</v>
      </c>
      <c r="H5" s="420" t="s">
        <v>200</v>
      </c>
      <c r="I5" s="420" t="s">
        <v>201</v>
      </c>
      <c r="K5" s="421">
        <f t="shared" si="4"/>
        <v>1200</v>
      </c>
      <c r="M5" s="421">
        <v>1200</v>
      </c>
    </row>
    <row r="6" spans="1:27" x14ac:dyDescent="0.3">
      <c r="A6" s="420">
        <v>3</v>
      </c>
      <c r="C6" s="420">
        <f t="shared" si="0"/>
        <v>5</v>
      </c>
      <c r="D6" s="420">
        <f t="shared" si="1"/>
        <v>4</v>
      </c>
      <c r="E6" s="420">
        <f t="shared" si="2"/>
        <v>11</v>
      </c>
      <c r="F6" s="420" t="str">
        <f t="shared" si="3"/>
        <v>cr</v>
      </c>
      <c r="G6" s="420" t="s">
        <v>202</v>
      </c>
      <c r="H6" s="420" t="s">
        <v>203</v>
      </c>
      <c r="I6" s="420" t="s">
        <v>204</v>
      </c>
      <c r="K6" s="421">
        <f t="shared" si="4"/>
        <v>1200</v>
      </c>
      <c r="M6" s="421">
        <v>1200</v>
      </c>
    </row>
    <row r="7" spans="1:27" x14ac:dyDescent="0.3">
      <c r="A7" s="420">
        <v>1</v>
      </c>
      <c r="C7" s="420">
        <f t="shared" si="0"/>
        <v>1</v>
      </c>
      <c r="D7" s="420">
        <f t="shared" si="1"/>
        <v>1</v>
      </c>
      <c r="E7" s="420">
        <f t="shared" si="2"/>
        <v>12</v>
      </c>
      <c r="F7" s="420" t="str">
        <f t="shared" si="3"/>
        <v>pmx</v>
      </c>
      <c r="G7" s="420" t="s">
        <v>205</v>
      </c>
      <c r="H7" s="420" t="s">
        <v>206</v>
      </c>
      <c r="I7" s="420" t="s">
        <v>207</v>
      </c>
      <c r="K7" s="421">
        <f t="shared" si="4"/>
        <v>1616.4772022793688</v>
      </c>
      <c r="M7" s="421">
        <v>1600</v>
      </c>
      <c r="P7" s="420">
        <v>1616.4772022793688</v>
      </c>
    </row>
    <row r="8" spans="1:27" x14ac:dyDescent="0.3">
      <c r="A8" s="420">
        <v>1</v>
      </c>
      <c r="C8" s="420">
        <f t="shared" si="0"/>
        <v>2</v>
      </c>
      <c r="D8" s="420">
        <f t="shared" si="1"/>
        <v>2</v>
      </c>
      <c r="E8" s="420">
        <f t="shared" si="2"/>
        <v>12</v>
      </c>
      <c r="F8" s="420" t="str">
        <f t="shared" si="3"/>
        <v>pmx</v>
      </c>
      <c r="G8" s="420" t="s">
        <v>208</v>
      </c>
      <c r="H8" s="420" t="s">
        <v>200</v>
      </c>
      <c r="I8" s="420" t="s">
        <v>209</v>
      </c>
      <c r="K8" s="421">
        <f t="shared" si="4"/>
        <v>1686.8133258533544</v>
      </c>
      <c r="M8" s="421">
        <v>1600</v>
      </c>
      <c r="P8" s="420">
        <v>1686.8133258533544</v>
      </c>
    </row>
    <row r="9" spans="1:27" x14ac:dyDescent="0.3">
      <c r="A9" s="420">
        <v>1</v>
      </c>
      <c r="C9" s="420">
        <f t="shared" si="0"/>
        <v>3</v>
      </c>
      <c r="D9" s="420">
        <f t="shared" si="1"/>
        <v>3</v>
      </c>
      <c r="E9" s="420">
        <f t="shared" si="2"/>
        <v>12</v>
      </c>
      <c r="F9" s="420" t="str">
        <f t="shared" si="3"/>
        <v>pmx</v>
      </c>
      <c r="G9" s="420" t="s">
        <v>210</v>
      </c>
      <c r="H9" s="420" t="s">
        <v>192</v>
      </c>
      <c r="I9" s="420" t="s">
        <v>211</v>
      </c>
      <c r="K9" s="421">
        <f t="shared" si="4"/>
        <v>1623.5670820023893</v>
      </c>
      <c r="M9" s="421">
        <v>1600</v>
      </c>
      <c r="P9" s="420">
        <v>1623.5670820023893</v>
      </c>
    </row>
    <row r="10" spans="1:27" x14ac:dyDescent="0.3">
      <c r="A10" s="420">
        <v>1</v>
      </c>
      <c r="C10" s="420">
        <f t="shared" si="0"/>
        <v>4</v>
      </c>
      <c r="D10" s="420">
        <f t="shared" si="1"/>
        <v>4</v>
      </c>
      <c r="E10" s="420">
        <f t="shared" si="2"/>
        <v>12</v>
      </c>
      <c r="F10" s="420" t="str">
        <f t="shared" si="3"/>
        <v>pmx</v>
      </c>
      <c r="G10" s="420" t="s">
        <v>212</v>
      </c>
      <c r="H10" s="420" t="s">
        <v>192</v>
      </c>
      <c r="I10" s="420" t="s">
        <v>213</v>
      </c>
      <c r="K10" s="421">
        <f t="shared" si="4"/>
        <v>1566.0787998096826</v>
      </c>
      <c r="M10" s="421">
        <v>1600</v>
      </c>
      <c r="P10" s="420">
        <v>1566.0787998096826</v>
      </c>
    </row>
    <row r="11" spans="1:27" x14ac:dyDescent="0.3">
      <c r="A11" s="420">
        <v>2</v>
      </c>
      <c r="C11" s="420">
        <f t="shared" si="0"/>
        <v>5</v>
      </c>
      <c r="D11" s="420">
        <f t="shared" si="1"/>
        <v>5</v>
      </c>
      <c r="E11" s="420">
        <f t="shared" si="2"/>
        <v>12</v>
      </c>
      <c r="F11" s="420" t="str">
        <f t="shared" si="3"/>
        <v>pm</v>
      </c>
      <c r="G11" s="420" t="s">
        <v>214</v>
      </c>
      <c r="H11" s="420" t="s">
        <v>215</v>
      </c>
      <c r="I11" s="420" t="s">
        <v>216</v>
      </c>
      <c r="K11" s="421">
        <f t="shared" si="4"/>
        <v>1672.0912540760935</v>
      </c>
      <c r="M11" s="421">
        <v>1600</v>
      </c>
      <c r="P11" s="420">
        <v>1672.0912540760935</v>
      </c>
    </row>
    <row r="12" spans="1:27" x14ac:dyDescent="0.3">
      <c r="A12" s="420">
        <v>2</v>
      </c>
      <c r="C12" s="420">
        <f t="shared" si="0"/>
        <v>6</v>
      </c>
      <c r="D12" s="420">
        <f t="shared" si="1"/>
        <v>6</v>
      </c>
      <c r="E12" s="420">
        <f t="shared" si="2"/>
        <v>12</v>
      </c>
      <c r="F12" s="420" t="str">
        <f t="shared" si="3"/>
        <v>pm</v>
      </c>
      <c r="G12" s="420" t="s">
        <v>217</v>
      </c>
      <c r="H12" s="420" t="s">
        <v>218</v>
      </c>
      <c r="I12" s="420" t="s">
        <v>219</v>
      </c>
      <c r="K12" s="421">
        <f t="shared" si="4"/>
        <v>1600</v>
      </c>
      <c r="M12" s="421">
        <v>1600</v>
      </c>
    </row>
    <row r="13" spans="1:27" x14ac:dyDescent="0.3">
      <c r="A13" s="420">
        <v>1</v>
      </c>
      <c r="C13" s="420">
        <f t="shared" si="0"/>
        <v>7</v>
      </c>
      <c r="D13" s="420">
        <f t="shared" si="1"/>
        <v>6</v>
      </c>
      <c r="E13" s="420">
        <f t="shared" si="2"/>
        <v>12</v>
      </c>
      <c r="F13" s="420" t="str">
        <f t="shared" si="3"/>
        <v>pmx</v>
      </c>
      <c r="G13" s="420" t="s">
        <v>220</v>
      </c>
      <c r="H13" s="420" t="s">
        <v>221</v>
      </c>
      <c r="I13" s="420" t="s">
        <v>222</v>
      </c>
      <c r="K13" s="421">
        <f t="shared" si="4"/>
        <v>1600</v>
      </c>
      <c r="M13" s="421">
        <v>1600</v>
      </c>
    </row>
    <row r="14" spans="1:27" x14ac:dyDescent="0.3">
      <c r="A14" s="420">
        <v>5</v>
      </c>
      <c r="C14" s="420">
        <f t="shared" si="0"/>
        <v>8</v>
      </c>
      <c r="D14" s="420">
        <f t="shared" si="1"/>
        <v>8</v>
      </c>
      <c r="E14" s="420">
        <f t="shared" si="2"/>
        <v>12</v>
      </c>
      <c r="F14" s="420" t="str">
        <f t="shared" si="3"/>
        <v>pm</v>
      </c>
      <c r="G14" s="420" t="s">
        <v>223</v>
      </c>
      <c r="H14" s="420" t="s">
        <v>224</v>
      </c>
      <c r="I14" s="420" t="s">
        <v>225</v>
      </c>
      <c r="K14" s="421">
        <f t="shared" si="4"/>
        <v>1579.4211609843667</v>
      </c>
      <c r="M14" s="421">
        <v>1600</v>
      </c>
      <c r="O14" s="420">
        <v>1579.4211609843667</v>
      </c>
    </row>
    <row r="15" spans="1:27" x14ac:dyDescent="0.3">
      <c r="A15" s="420">
        <v>2</v>
      </c>
      <c r="C15" s="420">
        <f t="shared" si="0"/>
        <v>9</v>
      </c>
      <c r="D15" s="420">
        <f t="shared" si="1"/>
        <v>9</v>
      </c>
      <c r="E15" s="420">
        <f t="shared" si="2"/>
        <v>12</v>
      </c>
      <c r="F15" s="420" t="str">
        <f t="shared" si="3"/>
        <v>pm</v>
      </c>
      <c r="G15" s="420" t="s">
        <v>226</v>
      </c>
      <c r="H15" s="420" t="s">
        <v>227</v>
      </c>
      <c r="I15" s="420" t="s">
        <v>228</v>
      </c>
      <c r="K15" s="421">
        <f t="shared" si="4"/>
        <v>1701.529408586621</v>
      </c>
      <c r="M15" s="421">
        <v>1600</v>
      </c>
      <c r="O15" s="420">
        <v>1701.529408586621</v>
      </c>
    </row>
    <row r="16" spans="1:27" x14ac:dyDescent="0.3">
      <c r="A16" s="420">
        <v>5</v>
      </c>
      <c r="C16" s="420">
        <f t="shared" si="0"/>
        <v>10</v>
      </c>
      <c r="D16" s="420">
        <f t="shared" si="1"/>
        <v>10</v>
      </c>
      <c r="E16" s="420">
        <f t="shared" si="2"/>
        <v>12</v>
      </c>
      <c r="F16" s="420" t="str">
        <f t="shared" si="3"/>
        <v>pm</v>
      </c>
      <c r="G16" s="420" t="s">
        <v>229</v>
      </c>
      <c r="H16" s="420" t="s">
        <v>215</v>
      </c>
      <c r="I16" s="420" t="s">
        <v>230</v>
      </c>
      <c r="K16" s="421">
        <f t="shared" si="4"/>
        <v>1620.0506756248978</v>
      </c>
      <c r="M16" s="421">
        <v>1520</v>
      </c>
      <c r="P16" s="420">
        <v>1620.0506756248978</v>
      </c>
    </row>
    <row r="17" spans="1:16" x14ac:dyDescent="0.3">
      <c r="A17" s="420">
        <v>5</v>
      </c>
      <c r="C17" s="420">
        <f t="shared" si="0"/>
        <v>11</v>
      </c>
      <c r="D17" s="420">
        <f t="shared" si="1"/>
        <v>11</v>
      </c>
      <c r="E17" s="420">
        <f t="shared" si="2"/>
        <v>12</v>
      </c>
      <c r="F17" s="420" t="str">
        <f t="shared" si="3"/>
        <v>pm</v>
      </c>
      <c r="G17" s="420" t="s">
        <v>231</v>
      </c>
      <c r="H17" s="420" t="s">
        <v>215</v>
      </c>
      <c r="I17" s="420" t="s">
        <v>232</v>
      </c>
      <c r="K17" s="421">
        <f t="shared" si="4"/>
        <v>1493.8800484266853</v>
      </c>
      <c r="M17" s="421">
        <v>1520</v>
      </c>
      <c r="P17" s="420">
        <v>1493.8800484266853</v>
      </c>
    </row>
    <row r="18" spans="1:16" x14ac:dyDescent="0.3">
      <c r="A18" s="420">
        <v>3</v>
      </c>
      <c r="C18" s="420">
        <f t="shared" si="0"/>
        <v>12</v>
      </c>
      <c r="D18" s="420">
        <f t="shared" si="1"/>
        <v>12</v>
      </c>
      <c r="E18" s="420">
        <f t="shared" si="2"/>
        <v>12</v>
      </c>
      <c r="F18" s="420" t="str">
        <f t="shared" si="3"/>
        <v>pm</v>
      </c>
      <c r="G18" s="420" t="s">
        <v>233</v>
      </c>
      <c r="H18" s="420" t="s">
        <v>215</v>
      </c>
      <c r="I18" s="420" t="s">
        <v>234</v>
      </c>
      <c r="K18" s="421">
        <f t="shared" si="4"/>
        <v>1389.1906269778058</v>
      </c>
      <c r="M18" s="421">
        <v>1466.6666666666667</v>
      </c>
      <c r="P18" s="420">
        <v>1389.1906269778058</v>
      </c>
    </row>
    <row r="19" spans="1:16" x14ac:dyDescent="0.3">
      <c r="A19" s="420">
        <v>6</v>
      </c>
      <c r="C19" s="420">
        <f t="shared" si="0"/>
        <v>13</v>
      </c>
      <c r="D19" s="420">
        <f t="shared" si="1"/>
        <v>13</v>
      </c>
      <c r="E19" s="420">
        <f t="shared" si="2"/>
        <v>12</v>
      </c>
      <c r="F19" s="420" t="str">
        <f t="shared" si="3"/>
        <v>pm</v>
      </c>
      <c r="G19" s="420" t="s">
        <v>158</v>
      </c>
      <c r="H19" s="420" t="s">
        <v>224</v>
      </c>
      <c r="I19" s="420" t="s">
        <v>235</v>
      </c>
      <c r="K19" s="421">
        <f t="shared" si="4"/>
        <v>1372.0324321944904</v>
      </c>
      <c r="M19" s="421">
        <v>1433.3333333333333</v>
      </c>
      <c r="P19" s="420">
        <v>1372.0324321944904</v>
      </c>
    </row>
    <row r="20" spans="1:16" x14ac:dyDescent="0.3">
      <c r="A20" s="420">
        <v>1</v>
      </c>
      <c r="C20" s="420">
        <f t="shared" si="0"/>
        <v>14</v>
      </c>
      <c r="D20" s="420">
        <f t="shared" si="1"/>
        <v>14</v>
      </c>
      <c r="E20" s="420">
        <f t="shared" si="2"/>
        <v>12</v>
      </c>
      <c r="F20" s="420" t="str">
        <f t="shared" si="3"/>
        <v>pmx</v>
      </c>
      <c r="G20" s="420" t="s">
        <v>236</v>
      </c>
      <c r="H20" s="420" t="s">
        <v>237</v>
      </c>
      <c r="I20" s="420" t="s">
        <v>238</v>
      </c>
      <c r="K20" s="421">
        <f t="shared" si="4"/>
        <v>1400</v>
      </c>
      <c r="M20" s="421">
        <v>1400</v>
      </c>
    </row>
    <row r="21" spans="1:16" x14ac:dyDescent="0.3">
      <c r="A21" s="420">
        <v>2</v>
      </c>
      <c r="C21" s="420">
        <f t="shared" si="0"/>
        <v>15</v>
      </c>
      <c r="D21" s="420">
        <f t="shared" si="1"/>
        <v>14</v>
      </c>
      <c r="E21" s="420">
        <f t="shared" si="2"/>
        <v>12</v>
      </c>
      <c r="F21" s="420" t="str">
        <f t="shared" si="3"/>
        <v>pm</v>
      </c>
      <c r="G21" s="420" t="s">
        <v>239</v>
      </c>
      <c r="H21" s="420" t="s">
        <v>240</v>
      </c>
      <c r="I21" s="420" t="s">
        <v>241</v>
      </c>
      <c r="K21" s="421">
        <f t="shared" si="4"/>
        <v>1400</v>
      </c>
      <c r="M21" s="421">
        <v>1400</v>
      </c>
    </row>
    <row r="22" spans="1:16" x14ac:dyDescent="0.3">
      <c r="A22" s="420">
        <v>3</v>
      </c>
      <c r="C22" s="420">
        <f t="shared" si="0"/>
        <v>16</v>
      </c>
      <c r="D22" s="420">
        <f t="shared" si="1"/>
        <v>16</v>
      </c>
      <c r="E22" s="420">
        <f t="shared" si="2"/>
        <v>12</v>
      </c>
      <c r="F22" s="420" t="str">
        <f t="shared" si="3"/>
        <v>pm</v>
      </c>
      <c r="G22" s="420" t="s">
        <v>242</v>
      </c>
      <c r="H22" s="420" t="s">
        <v>243</v>
      </c>
      <c r="I22" s="420" t="s">
        <v>244</v>
      </c>
      <c r="K22" s="421">
        <f t="shared" si="4"/>
        <v>1531.3017091550601</v>
      </c>
      <c r="M22" s="421">
        <v>1400</v>
      </c>
      <c r="N22" s="420">
        <v>1476.3698763802292</v>
      </c>
      <c r="P22" s="420">
        <v>1531.3017091550601</v>
      </c>
    </row>
    <row r="23" spans="1:16" x14ac:dyDescent="0.3">
      <c r="A23" s="420">
        <v>3</v>
      </c>
      <c r="C23" s="420">
        <f t="shared" si="0"/>
        <v>17</v>
      </c>
      <c r="D23" s="420">
        <f t="shared" si="1"/>
        <v>17</v>
      </c>
      <c r="E23" s="420">
        <f t="shared" si="2"/>
        <v>12</v>
      </c>
      <c r="F23" s="420" t="str">
        <f t="shared" si="3"/>
        <v>pm</v>
      </c>
      <c r="G23" s="420" t="s">
        <v>245</v>
      </c>
      <c r="H23" s="420" t="s">
        <v>243</v>
      </c>
      <c r="I23" s="420" t="s">
        <v>246</v>
      </c>
      <c r="K23" s="421">
        <f t="shared" si="4"/>
        <v>1537.3802077651519</v>
      </c>
      <c r="M23" s="421">
        <v>1400</v>
      </c>
      <c r="N23" s="420">
        <v>1447.5815954545844</v>
      </c>
      <c r="P23" s="420">
        <v>1537.3802077651519</v>
      </c>
    </row>
    <row r="24" spans="1:16" x14ac:dyDescent="0.3">
      <c r="A24" s="420">
        <v>3</v>
      </c>
      <c r="C24" s="420">
        <f t="shared" si="0"/>
        <v>18</v>
      </c>
      <c r="D24" s="420">
        <f t="shared" si="1"/>
        <v>18</v>
      </c>
      <c r="E24" s="420">
        <f t="shared" si="2"/>
        <v>12</v>
      </c>
      <c r="F24" s="420" t="str">
        <f t="shared" si="3"/>
        <v>pm</v>
      </c>
      <c r="G24" s="420" t="s">
        <v>247</v>
      </c>
      <c r="H24" s="420" t="s">
        <v>243</v>
      </c>
      <c r="I24" s="420" t="s">
        <v>248</v>
      </c>
      <c r="K24" s="421">
        <f t="shared" si="4"/>
        <v>1357.2341324310933</v>
      </c>
      <c r="M24" s="421">
        <v>1400</v>
      </c>
      <c r="P24" s="420">
        <v>1357.2341324310933</v>
      </c>
    </row>
    <row r="25" spans="1:16" x14ac:dyDescent="0.3">
      <c r="A25" s="420">
        <v>2</v>
      </c>
      <c r="C25" s="420">
        <f t="shared" si="0"/>
        <v>19</v>
      </c>
      <c r="D25" s="420">
        <f t="shared" si="1"/>
        <v>19</v>
      </c>
      <c r="E25" s="420">
        <f t="shared" si="2"/>
        <v>12</v>
      </c>
      <c r="F25" s="420" t="str">
        <f t="shared" si="3"/>
        <v>pm</v>
      </c>
      <c r="G25" s="420" t="s">
        <v>249</v>
      </c>
      <c r="H25" s="420" t="s">
        <v>250</v>
      </c>
      <c r="I25" s="420" t="s">
        <v>251</v>
      </c>
      <c r="K25" s="421">
        <f t="shared" si="4"/>
        <v>1350.0578538073637</v>
      </c>
      <c r="M25" s="421">
        <v>1400</v>
      </c>
      <c r="N25" s="420">
        <v>1350.0578538073637</v>
      </c>
    </row>
    <row r="26" spans="1:16" x14ac:dyDescent="0.3">
      <c r="A26" s="420">
        <v>4</v>
      </c>
      <c r="C26" s="420">
        <f t="shared" si="0"/>
        <v>20</v>
      </c>
      <c r="D26" s="420">
        <f t="shared" si="1"/>
        <v>20</v>
      </c>
      <c r="E26" s="420">
        <f t="shared" si="2"/>
        <v>12</v>
      </c>
      <c r="F26" s="420" t="str">
        <f t="shared" si="3"/>
        <v>pm</v>
      </c>
      <c r="G26" s="420" t="s">
        <v>252</v>
      </c>
      <c r="H26" s="420" t="s">
        <v>253</v>
      </c>
      <c r="I26" s="420" t="s">
        <v>254</v>
      </c>
      <c r="K26" s="421">
        <f t="shared" si="4"/>
        <v>1428.1010048509108</v>
      </c>
      <c r="M26" s="421">
        <v>1400</v>
      </c>
      <c r="P26" s="420">
        <v>1428.1010048509108</v>
      </c>
    </row>
    <row r="27" spans="1:16" x14ac:dyDescent="0.3">
      <c r="A27" s="420">
        <v>5</v>
      </c>
      <c r="C27" s="420">
        <f t="shared" si="0"/>
        <v>21</v>
      </c>
      <c r="D27" s="420">
        <f t="shared" si="1"/>
        <v>21</v>
      </c>
      <c r="E27" s="420">
        <f t="shared" si="2"/>
        <v>12</v>
      </c>
      <c r="F27" s="420" t="str">
        <f t="shared" si="3"/>
        <v>pm</v>
      </c>
      <c r="G27" s="420" t="s">
        <v>255</v>
      </c>
      <c r="H27" s="420" t="s">
        <v>256</v>
      </c>
      <c r="I27" s="420" t="s">
        <v>257</v>
      </c>
      <c r="K27" s="421">
        <f t="shared" si="4"/>
        <v>1472.1508938896179</v>
      </c>
      <c r="M27" s="421">
        <v>1400</v>
      </c>
      <c r="N27" s="420">
        <v>1462.0140696522083</v>
      </c>
      <c r="P27" s="420">
        <v>1472.1508938896179</v>
      </c>
    </row>
    <row r="28" spans="1:16" x14ac:dyDescent="0.3">
      <c r="A28" s="420">
        <v>4</v>
      </c>
      <c r="C28" s="420">
        <f t="shared" si="0"/>
        <v>22</v>
      </c>
      <c r="D28" s="420">
        <f t="shared" si="1"/>
        <v>22</v>
      </c>
      <c r="E28" s="420">
        <f t="shared" si="2"/>
        <v>12</v>
      </c>
      <c r="F28" s="420" t="str">
        <f t="shared" si="3"/>
        <v>pm</v>
      </c>
      <c r="G28" s="420" t="s">
        <v>258</v>
      </c>
      <c r="H28" s="420" t="s">
        <v>256</v>
      </c>
      <c r="I28" s="420" t="s">
        <v>259</v>
      </c>
      <c r="K28" s="421">
        <f t="shared" si="4"/>
        <v>1387.5441557026004</v>
      </c>
      <c r="M28" s="421">
        <v>1400</v>
      </c>
      <c r="P28" s="420">
        <v>1387.5441557026004</v>
      </c>
    </row>
    <row r="29" spans="1:16" x14ac:dyDescent="0.3">
      <c r="A29" s="420">
        <v>6</v>
      </c>
      <c r="C29" s="420">
        <f t="shared" si="0"/>
        <v>23</v>
      </c>
      <c r="D29" s="420">
        <f t="shared" si="1"/>
        <v>23</v>
      </c>
      <c r="E29" s="420">
        <f t="shared" si="2"/>
        <v>12</v>
      </c>
      <c r="F29" s="420" t="str">
        <f t="shared" si="3"/>
        <v>pm</v>
      </c>
      <c r="G29" s="420" t="s">
        <v>260</v>
      </c>
      <c r="H29" s="420" t="s">
        <v>261</v>
      </c>
      <c r="I29" s="420" t="s">
        <v>262</v>
      </c>
      <c r="K29" s="421">
        <f t="shared" si="4"/>
        <v>1397.3483492662522</v>
      </c>
      <c r="M29" s="421">
        <v>1400</v>
      </c>
      <c r="P29" s="420">
        <v>1397.3483492662522</v>
      </c>
    </row>
    <row r="30" spans="1:16" x14ac:dyDescent="0.3">
      <c r="A30" s="420">
        <v>6</v>
      </c>
      <c r="C30" s="420">
        <f t="shared" si="0"/>
        <v>24</v>
      </c>
      <c r="D30" s="420">
        <f t="shared" si="1"/>
        <v>24</v>
      </c>
      <c r="E30" s="420">
        <f t="shared" si="2"/>
        <v>12</v>
      </c>
      <c r="F30" s="420" t="str">
        <f t="shared" si="3"/>
        <v>pm</v>
      </c>
      <c r="G30" s="420" t="s">
        <v>263</v>
      </c>
      <c r="H30" s="420" t="s">
        <v>264</v>
      </c>
      <c r="I30" s="420" t="s">
        <v>265</v>
      </c>
      <c r="K30" s="421">
        <f t="shared" si="4"/>
        <v>1387.8230506446589</v>
      </c>
      <c r="M30" s="421">
        <v>1400</v>
      </c>
      <c r="P30" s="420">
        <v>1387.8230506446589</v>
      </c>
    </row>
    <row r="31" spans="1:16" x14ac:dyDescent="0.3">
      <c r="A31" s="420">
        <v>5</v>
      </c>
      <c r="C31" s="420">
        <f t="shared" si="0"/>
        <v>25</v>
      </c>
      <c r="D31" s="420">
        <f t="shared" si="1"/>
        <v>25</v>
      </c>
      <c r="E31" s="420">
        <f t="shared" si="2"/>
        <v>12</v>
      </c>
      <c r="F31" s="420" t="str">
        <f t="shared" si="3"/>
        <v>pm</v>
      </c>
      <c r="G31" s="420" t="s">
        <v>266</v>
      </c>
      <c r="H31" s="420" t="s">
        <v>267</v>
      </c>
      <c r="I31" s="420" t="s">
        <v>268</v>
      </c>
      <c r="K31" s="421">
        <f t="shared" si="4"/>
        <v>1483.6607809901664</v>
      </c>
      <c r="M31" s="421">
        <v>1400</v>
      </c>
      <c r="N31" s="420">
        <v>1392.0553046168466</v>
      </c>
      <c r="P31" s="420">
        <v>1483.6607809901664</v>
      </c>
    </row>
    <row r="32" spans="1:16" x14ac:dyDescent="0.3">
      <c r="A32" s="420">
        <v>1</v>
      </c>
      <c r="C32" s="420">
        <f t="shared" si="0"/>
        <v>26</v>
      </c>
      <c r="D32" s="420">
        <f t="shared" si="1"/>
        <v>26</v>
      </c>
      <c r="E32" s="420">
        <f t="shared" si="2"/>
        <v>12</v>
      </c>
      <c r="F32" s="420" t="str">
        <f t="shared" si="3"/>
        <v>pmx</v>
      </c>
      <c r="G32" s="420" t="s">
        <v>269</v>
      </c>
      <c r="H32" s="420" t="s">
        <v>270</v>
      </c>
      <c r="I32" s="420" t="s">
        <v>271</v>
      </c>
      <c r="K32" s="421">
        <f t="shared" si="4"/>
        <v>1419.6445762924195</v>
      </c>
      <c r="M32" s="421">
        <v>1400</v>
      </c>
      <c r="N32" s="420">
        <v>1419.6445762924195</v>
      </c>
    </row>
    <row r="33" spans="1:16" x14ac:dyDescent="0.3">
      <c r="A33" s="420">
        <v>4</v>
      </c>
      <c r="C33" s="420">
        <f t="shared" si="0"/>
        <v>27</v>
      </c>
      <c r="D33" s="420">
        <f t="shared" si="1"/>
        <v>27</v>
      </c>
      <c r="E33" s="420">
        <f t="shared" si="2"/>
        <v>12</v>
      </c>
      <c r="F33" s="420" t="str">
        <f t="shared" si="3"/>
        <v>pm</v>
      </c>
      <c r="G33" s="420" t="s">
        <v>272</v>
      </c>
      <c r="H33" s="420" t="s">
        <v>273</v>
      </c>
      <c r="I33" s="420" t="s">
        <v>274</v>
      </c>
      <c r="K33" s="421">
        <f t="shared" si="4"/>
        <v>1400</v>
      </c>
      <c r="M33" s="421">
        <v>1400</v>
      </c>
    </row>
    <row r="34" spans="1:16" x14ac:dyDescent="0.3">
      <c r="A34" s="420">
        <v>4</v>
      </c>
      <c r="C34" s="420">
        <f t="shared" si="0"/>
        <v>28</v>
      </c>
      <c r="D34" s="420">
        <f t="shared" si="1"/>
        <v>27</v>
      </c>
      <c r="E34" s="420">
        <f t="shared" si="2"/>
        <v>12</v>
      </c>
      <c r="F34" s="420" t="str">
        <f t="shared" si="3"/>
        <v>pm</v>
      </c>
      <c r="G34" s="420" t="s">
        <v>275</v>
      </c>
      <c r="H34" s="420" t="s">
        <v>273</v>
      </c>
      <c r="I34" s="420" t="s">
        <v>276</v>
      </c>
      <c r="K34" s="421">
        <f t="shared" si="4"/>
        <v>1400</v>
      </c>
      <c r="M34" s="421">
        <v>1400</v>
      </c>
    </row>
    <row r="35" spans="1:16" x14ac:dyDescent="0.3">
      <c r="A35" s="420">
        <v>7</v>
      </c>
      <c r="C35" s="420">
        <f t="shared" si="0"/>
        <v>29</v>
      </c>
      <c r="D35" s="420">
        <f t="shared" si="1"/>
        <v>29</v>
      </c>
      <c r="E35" s="420">
        <f t="shared" si="2"/>
        <v>12</v>
      </c>
      <c r="F35" s="420" t="str">
        <f t="shared" si="3"/>
        <v>pm</v>
      </c>
      <c r="G35" s="420" t="s">
        <v>277</v>
      </c>
      <c r="H35" s="420" t="s">
        <v>278</v>
      </c>
      <c r="I35" s="420" t="s">
        <v>279</v>
      </c>
      <c r="K35" s="421">
        <f t="shared" si="4"/>
        <v>1385.9530682556606</v>
      </c>
      <c r="M35" s="421">
        <v>1400</v>
      </c>
      <c r="N35" s="420">
        <v>1334.5199657762885</v>
      </c>
      <c r="P35" s="420">
        <v>1385.9530682556606</v>
      </c>
    </row>
    <row r="36" spans="1:16" x14ac:dyDescent="0.3">
      <c r="A36" s="420">
        <v>1</v>
      </c>
      <c r="C36" s="420">
        <f t="shared" si="0"/>
        <v>30</v>
      </c>
      <c r="D36" s="420">
        <f t="shared" si="1"/>
        <v>30</v>
      </c>
      <c r="E36" s="420">
        <f t="shared" si="2"/>
        <v>12</v>
      </c>
      <c r="F36" s="420" t="str">
        <f t="shared" si="3"/>
        <v>pmx</v>
      </c>
      <c r="G36" s="420" t="s">
        <v>280</v>
      </c>
      <c r="H36" s="420" t="s">
        <v>200</v>
      </c>
      <c r="I36" s="420" t="s">
        <v>281</v>
      </c>
      <c r="K36" s="421">
        <f t="shared" si="4"/>
        <v>1400</v>
      </c>
      <c r="M36" s="421">
        <v>1400</v>
      </c>
    </row>
    <row r="37" spans="1:16" x14ac:dyDescent="0.3">
      <c r="A37" s="420">
        <v>3</v>
      </c>
      <c r="C37" s="420">
        <f t="shared" si="0"/>
        <v>31</v>
      </c>
      <c r="D37" s="420">
        <f t="shared" si="1"/>
        <v>31</v>
      </c>
      <c r="E37" s="420">
        <f t="shared" si="2"/>
        <v>12</v>
      </c>
      <c r="F37" s="420" t="str">
        <f t="shared" si="3"/>
        <v>pm</v>
      </c>
      <c r="G37" s="420" t="s">
        <v>282</v>
      </c>
      <c r="H37" s="420" t="s">
        <v>283</v>
      </c>
      <c r="I37" s="420" t="s">
        <v>284</v>
      </c>
      <c r="K37" s="421">
        <f t="shared" si="4"/>
        <v>1445.866311589471</v>
      </c>
      <c r="M37" s="421">
        <v>1400</v>
      </c>
      <c r="P37" s="420">
        <v>1445.866311589471</v>
      </c>
    </row>
    <row r="38" spans="1:16" x14ac:dyDescent="0.3">
      <c r="A38" s="420">
        <v>3</v>
      </c>
      <c r="C38" s="420">
        <f t="shared" si="0"/>
        <v>32</v>
      </c>
      <c r="D38" s="420">
        <f t="shared" si="1"/>
        <v>32</v>
      </c>
      <c r="E38" s="420">
        <f t="shared" si="2"/>
        <v>12</v>
      </c>
      <c r="F38" s="420" t="str">
        <f t="shared" si="3"/>
        <v>pm</v>
      </c>
      <c r="G38" s="420" t="s">
        <v>285</v>
      </c>
      <c r="H38" s="420" t="s">
        <v>283</v>
      </c>
      <c r="I38" s="420" t="s">
        <v>286</v>
      </c>
      <c r="K38" s="421">
        <f t="shared" si="4"/>
        <v>1296.9548720074079</v>
      </c>
      <c r="M38" s="421">
        <v>1400</v>
      </c>
      <c r="P38" s="420">
        <v>1296.9548720074079</v>
      </c>
    </row>
    <row r="39" spans="1:16" x14ac:dyDescent="0.3">
      <c r="A39" s="420">
        <v>6</v>
      </c>
      <c r="C39" s="420">
        <f t="shared" si="0"/>
        <v>33</v>
      </c>
      <c r="D39" s="420">
        <f t="shared" si="1"/>
        <v>33</v>
      </c>
      <c r="E39" s="420">
        <f t="shared" si="2"/>
        <v>12</v>
      </c>
      <c r="F39" s="420" t="str">
        <f t="shared" si="3"/>
        <v>pm</v>
      </c>
      <c r="G39" s="420" t="s">
        <v>287</v>
      </c>
      <c r="H39" s="420" t="s">
        <v>288</v>
      </c>
      <c r="I39" s="420" t="s">
        <v>289</v>
      </c>
      <c r="K39" s="421">
        <f t="shared" si="4"/>
        <v>1368.8186614357858</v>
      </c>
      <c r="M39" s="421">
        <v>1400</v>
      </c>
      <c r="P39" s="420">
        <v>1368.8186614357858</v>
      </c>
    </row>
    <row r="40" spans="1:16" x14ac:dyDescent="0.3">
      <c r="A40" s="420">
        <v>3</v>
      </c>
      <c r="C40" s="420">
        <f t="shared" si="0"/>
        <v>34</v>
      </c>
      <c r="D40" s="420">
        <f t="shared" si="1"/>
        <v>34</v>
      </c>
      <c r="E40" s="420">
        <f t="shared" si="2"/>
        <v>12</v>
      </c>
      <c r="F40" s="420" t="str">
        <f t="shared" si="3"/>
        <v>pm</v>
      </c>
      <c r="G40" s="420" t="s">
        <v>290</v>
      </c>
      <c r="H40" s="420" t="s">
        <v>288</v>
      </c>
      <c r="I40" s="420" t="s">
        <v>291</v>
      </c>
      <c r="K40" s="421">
        <f t="shared" si="4"/>
        <v>1424.3253801381572</v>
      </c>
      <c r="M40" s="421">
        <v>1400</v>
      </c>
      <c r="P40" s="420">
        <v>1424.3253801381572</v>
      </c>
    </row>
    <row r="41" spans="1:16" x14ac:dyDescent="0.3">
      <c r="A41" s="420">
        <v>4</v>
      </c>
      <c r="C41" s="420">
        <f t="shared" si="0"/>
        <v>35</v>
      </c>
      <c r="D41" s="420">
        <f t="shared" si="1"/>
        <v>35</v>
      </c>
      <c r="E41" s="420">
        <f t="shared" si="2"/>
        <v>12</v>
      </c>
      <c r="F41" s="420" t="str">
        <f t="shared" si="3"/>
        <v>pm</v>
      </c>
      <c r="G41" s="420" t="s">
        <v>292</v>
      </c>
      <c r="H41" s="420" t="s">
        <v>218</v>
      </c>
      <c r="I41" s="420" t="s">
        <v>293</v>
      </c>
      <c r="K41" s="421">
        <f t="shared" si="4"/>
        <v>1312.5310212754796</v>
      </c>
      <c r="M41" s="421">
        <v>1400</v>
      </c>
      <c r="P41" s="420">
        <v>1312.5310212754796</v>
      </c>
    </row>
    <row r="42" spans="1:16" x14ac:dyDescent="0.3">
      <c r="A42" s="420">
        <v>2</v>
      </c>
      <c r="C42" s="420">
        <f t="shared" si="0"/>
        <v>36</v>
      </c>
      <c r="D42" s="420">
        <f t="shared" si="1"/>
        <v>36</v>
      </c>
      <c r="E42" s="420">
        <f t="shared" si="2"/>
        <v>12</v>
      </c>
      <c r="F42" s="420" t="str">
        <f t="shared" si="3"/>
        <v>pm</v>
      </c>
      <c r="G42" s="420" t="s">
        <v>294</v>
      </c>
      <c r="H42" s="420" t="s">
        <v>227</v>
      </c>
      <c r="I42" s="420" t="s">
        <v>295</v>
      </c>
      <c r="K42" s="421">
        <f t="shared" si="4"/>
        <v>1400</v>
      </c>
      <c r="M42" s="421">
        <v>1400</v>
      </c>
    </row>
    <row r="43" spans="1:16" x14ac:dyDescent="0.3">
      <c r="A43" s="420">
        <v>1</v>
      </c>
      <c r="C43" s="420">
        <f t="shared" si="0"/>
        <v>37</v>
      </c>
      <c r="D43" s="420">
        <f t="shared" si="1"/>
        <v>37</v>
      </c>
      <c r="E43" s="420">
        <f t="shared" si="2"/>
        <v>12</v>
      </c>
      <c r="F43" s="420" t="str">
        <f t="shared" si="3"/>
        <v>crx</v>
      </c>
      <c r="G43" s="420" t="s">
        <v>296</v>
      </c>
      <c r="H43" s="420" t="s">
        <v>297</v>
      </c>
      <c r="I43" s="420" t="s">
        <v>298</v>
      </c>
      <c r="K43" s="421">
        <f t="shared" si="4"/>
        <v>1361.5371698741974</v>
      </c>
      <c r="M43" s="421">
        <v>1400</v>
      </c>
      <c r="P43" s="420">
        <v>1361.5371698741974</v>
      </c>
    </row>
    <row r="44" spans="1:16" x14ac:dyDescent="0.3">
      <c r="A44" s="420">
        <v>3</v>
      </c>
      <c r="C44" s="420">
        <f t="shared" si="0"/>
        <v>38</v>
      </c>
      <c r="D44" s="420">
        <f t="shared" si="1"/>
        <v>38</v>
      </c>
      <c r="E44" s="420">
        <f t="shared" si="2"/>
        <v>12</v>
      </c>
      <c r="F44" s="420" t="str">
        <f t="shared" si="3"/>
        <v>cr</v>
      </c>
      <c r="G44" s="420" t="s">
        <v>299</v>
      </c>
      <c r="H44" s="420" t="s">
        <v>203</v>
      </c>
      <c r="I44" s="420" t="s">
        <v>300</v>
      </c>
      <c r="K44" s="421">
        <f t="shared" si="4"/>
        <v>1359.5554742731761</v>
      </c>
      <c r="M44" s="421">
        <v>1400</v>
      </c>
      <c r="P44" s="420">
        <v>1359.5554742731761</v>
      </c>
    </row>
    <row r="45" spans="1:16" x14ac:dyDescent="0.3">
      <c r="A45" s="420">
        <v>1</v>
      </c>
      <c r="C45" s="420">
        <f t="shared" si="0"/>
        <v>39</v>
      </c>
      <c r="D45" s="420">
        <f t="shared" si="1"/>
        <v>39</v>
      </c>
      <c r="E45" s="420">
        <f t="shared" si="2"/>
        <v>12</v>
      </c>
      <c r="F45" s="420" t="str">
        <f t="shared" si="3"/>
        <v>crx</v>
      </c>
      <c r="G45" s="420" t="s">
        <v>301</v>
      </c>
      <c r="H45" s="420" t="s">
        <v>302</v>
      </c>
      <c r="I45" s="420" t="s">
        <v>303</v>
      </c>
      <c r="K45" s="421">
        <f t="shared" si="4"/>
        <v>1478.5154866564021</v>
      </c>
      <c r="M45" s="421">
        <v>1400</v>
      </c>
      <c r="P45" s="420">
        <v>1478.5154866564021</v>
      </c>
    </row>
    <row r="46" spans="1:16" x14ac:dyDescent="0.3">
      <c r="A46" s="420">
        <v>3</v>
      </c>
      <c r="C46" s="420">
        <f t="shared" si="0"/>
        <v>40</v>
      </c>
      <c r="D46" s="420">
        <f t="shared" si="1"/>
        <v>40</v>
      </c>
      <c r="E46" s="420">
        <f t="shared" si="2"/>
        <v>12</v>
      </c>
      <c r="F46" s="420" t="str">
        <f t="shared" si="3"/>
        <v>pm</v>
      </c>
      <c r="G46" s="420" t="s">
        <v>304</v>
      </c>
      <c r="H46" s="420" t="s">
        <v>305</v>
      </c>
      <c r="I46" s="420" t="s">
        <v>306</v>
      </c>
      <c r="K46" s="421">
        <f t="shared" si="4"/>
        <v>1184.4234246867265</v>
      </c>
      <c r="M46" s="421">
        <v>1266.6666666666667</v>
      </c>
      <c r="N46" s="420">
        <v>1184.4234246867265</v>
      </c>
    </row>
    <row r="47" spans="1:16" x14ac:dyDescent="0.3">
      <c r="A47" s="420">
        <v>2</v>
      </c>
      <c r="C47" s="420">
        <f t="shared" si="0"/>
        <v>41</v>
      </c>
      <c r="D47" s="420">
        <f t="shared" si="1"/>
        <v>41</v>
      </c>
      <c r="E47" s="420">
        <f t="shared" si="2"/>
        <v>12</v>
      </c>
      <c r="F47" s="420" t="str">
        <f t="shared" si="3"/>
        <v>pm</v>
      </c>
      <c r="G47" s="420" t="s">
        <v>307</v>
      </c>
      <c r="H47" s="420" t="s">
        <v>243</v>
      </c>
      <c r="I47" s="420" t="s">
        <v>308</v>
      </c>
      <c r="K47" s="421">
        <f t="shared" si="4"/>
        <v>1200</v>
      </c>
      <c r="M47" s="421">
        <v>1200</v>
      </c>
    </row>
    <row r="48" spans="1:16" x14ac:dyDescent="0.3">
      <c r="A48" s="420">
        <v>2</v>
      </c>
      <c r="C48" s="420">
        <f t="shared" si="0"/>
        <v>42</v>
      </c>
      <c r="D48" s="420">
        <f t="shared" si="1"/>
        <v>41</v>
      </c>
      <c r="E48" s="420">
        <f t="shared" si="2"/>
        <v>12</v>
      </c>
      <c r="F48" s="420" t="str">
        <f t="shared" si="3"/>
        <v>pm</v>
      </c>
      <c r="G48" s="420" t="s">
        <v>309</v>
      </c>
      <c r="H48" s="420" t="s">
        <v>243</v>
      </c>
      <c r="I48" s="420" t="s">
        <v>310</v>
      </c>
      <c r="K48" s="421">
        <f t="shared" si="4"/>
        <v>1200</v>
      </c>
      <c r="M48" s="421">
        <v>1200</v>
      </c>
    </row>
    <row r="49" spans="1:16" x14ac:dyDescent="0.3">
      <c r="A49" s="420">
        <v>2</v>
      </c>
      <c r="C49" s="420">
        <f t="shared" si="0"/>
        <v>43</v>
      </c>
      <c r="D49" s="420">
        <f t="shared" si="1"/>
        <v>41</v>
      </c>
      <c r="E49" s="420">
        <f t="shared" si="2"/>
        <v>12</v>
      </c>
      <c r="F49" s="420" t="str">
        <f t="shared" si="3"/>
        <v>pm</v>
      </c>
      <c r="G49" s="420" t="s">
        <v>311</v>
      </c>
      <c r="H49" s="420" t="s">
        <v>243</v>
      </c>
      <c r="I49" s="420" t="s">
        <v>312</v>
      </c>
      <c r="K49" s="421">
        <f t="shared" si="4"/>
        <v>1200</v>
      </c>
      <c r="M49" s="421">
        <v>1200</v>
      </c>
    </row>
    <row r="50" spans="1:16" x14ac:dyDescent="0.3">
      <c r="A50" s="420">
        <v>3</v>
      </c>
      <c r="C50" s="420">
        <f t="shared" si="0"/>
        <v>44</v>
      </c>
      <c r="D50" s="420">
        <f t="shared" si="1"/>
        <v>41</v>
      </c>
      <c r="E50" s="420">
        <f t="shared" si="2"/>
        <v>12</v>
      </c>
      <c r="F50" s="420" t="str">
        <f t="shared" si="3"/>
        <v>pm</v>
      </c>
      <c r="G50" s="420" t="s">
        <v>313</v>
      </c>
      <c r="H50" s="420" t="s">
        <v>256</v>
      </c>
      <c r="I50" s="420" t="s">
        <v>314</v>
      </c>
      <c r="K50" s="421">
        <f t="shared" si="4"/>
        <v>1200</v>
      </c>
      <c r="M50" s="421">
        <v>1200</v>
      </c>
    </row>
    <row r="51" spans="1:16" x14ac:dyDescent="0.3">
      <c r="A51" s="420">
        <v>4</v>
      </c>
      <c r="C51" s="420">
        <f t="shared" si="0"/>
        <v>45</v>
      </c>
      <c r="D51" s="420">
        <f t="shared" si="1"/>
        <v>41</v>
      </c>
      <c r="E51" s="420">
        <f t="shared" si="2"/>
        <v>12</v>
      </c>
      <c r="F51" s="420" t="str">
        <f t="shared" si="3"/>
        <v>pm</v>
      </c>
      <c r="G51" s="420" t="s">
        <v>315</v>
      </c>
      <c r="H51" s="420" t="s">
        <v>264</v>
      </c>
      <c r="I51" s="420" t="s">
        <v>316</v>
      </c>
      <c r="K51" s="421">
        <f t="shared" si="4"/>
        <v>1200</v>
      </c>
      <c r="M51" s="421">
        <v>1200</v>
      </c>
    </row>
    <row r="52" spans="1:16" x14ac:dyDescent="0.3">
      <c r="A52" s="420">
        <v>4</v>
      </c>
      <c r="C52" s="420">
        <f t="shared" si="0"/>
        <v>46</v>
      </c>
      <c r="D52" s="420">
        <f t="shared" si="1"/>
        <v>41</v>
      </c>
      <c r="E52" s="420">
        <f t="shared" si="2"/>
        <v>12</v>
      </c>
      <c r="F52" s="420" t="str">
        <f t="shared" si="3"/>
        <v>pm</v>
      </c>
      <c r="G52" s="420" t="s">
        <v>317</v>
      </c>
      <c r="H52" s="420" t="s">
        <v>318</v>
      </c>
      <c r="I52" s="420" t="s">
        <v>319</v>
      </c>
      <c r="K52" s="421">
        <f t="shared" si="4"/>
        <v>1200</v>
      </c>
      <c r="M52" s="421">
        <v>1200</v>
      </c>
    </row>
    <row r="53" spans="1:16" x14ac:dyDescent="0.3">
      <c r="A53" s="420">
        <v>3</v>
      </c>
      <c r="C53" s="420">
        <f t="shared" si="0"/>
        <v>47</v>
      </c>
      <c r="D53" s="420">
        <f t="shared" si="1"/>
        <v>47</v>
      </c>
      <c r="E53" s="420">
        <f t="shared" si="2"/>
        <v>12</v>
      </c>
      <c r="F53" s="420" t="str">
        <f t="shared" si="3"/>
        <v>pm</v>
      </c>
      <c r="G53" s="420" t="s">
        <v>168</v>
      </c>
      <c r="H53" s="420" t="s">
        <v>267</v>
      </c>
      <c r="I53" s="420" t="s">
        <v>320</v>
      </c>
      <c r="K53" s="421">
        <f t="shared" si="4"/>
        <v>1157.2304177245248</v>
      </c>
      <c r="M53" s="421">
        <v>1200</v>
      </c>
      <c r="P53" s="420">
        <v>1157.2304177245248</v>
      </c>
    </row>
    <row r="54" spans="1:16" x14ac:dyDescent="0.3">
      <c r="A54" s="420">
        <v>2</v>
      </c>
      <c r="C54" s="420">
        <f t="shared" si="0"/>
        <v>48</v>
      </c>
      <c r="D54" s="420">
        <f t="shared" si="1"/>
        <v>48</v>
      </c>
      <c r="E54" s="420">
        <f t="shared" si="2"/>
        <v>12</v>
      </c>
      <c r="F54" s="420" t="str">
        <f t="shared" si="3"/>
        <v>pm</v>
      </c>
      <c r="G54" s="420" t="s">
        <v>321</v>
      </c>
      <c r="H54" s="420" t="s">
        <v>267</v>
      </c>
      <c r="I54" s="420" t="s">
        <v>322</v>
      </c>
      <c r="K54" s="421">
        <f t="shared" si="4"/>
        <v>1200</v>
      </c>
      <c r="M54" s="421">
        <v>1200</v>
      </c>
    </row>
    <row r="55" spans="1:16" x14ac:dyDescent="0.3">
      <c r="A55" s="420">
        <v>2</v>
      </c>
      <c r="C55" s="420">
        <f t="shared" si="0"/>
        <v>49</v>
      </c>
      <c r="D55" s="420">
        <f t="shared" si="1"/>
        <v>48</v>
      </c>
      <c r="E55" s="420">
        <f t="shared" si="2"/>
        <v>12</v>
      </c>
      <c r="F55" s="420" t="str">
        <f t="shared" si="3"/>
        <v>pm</v>
      </c>
      <c r="G55" s="420" t="s">
        <v>323</v>
      </c>
      <c r="H55" s="420" t="s">
        <v>273</v>
      </c>
      <c r="I55" s="420" t="s">
        <v>155</v>
      </c>
      <c r="K55" s="421">
        <f t="shared" si="4"/>
        <v>1200</v>
      </c>
      <c r="M55" s="421">
        <v>1200</v>
      </c>
    </row>
    <row r="56" spans="1:16" x14ac:dyDescent="0.3">
      <c r="A56" s="420">
        <v>2</v>
      </c>
      <c r="C56" s="420">
        <f t="shared" si="0"/>
        <v>50</v>
      </c>
      <c r="D56" s="420">
        <f t="shared" si="1"/>
        <v>50</v>
      </c>
      <c r="E56" s="420">
        <f t="shared" si="2"/>
        <v>12</v>
      </c>
      <c r="F56" s="420" t="str">
        <f t="shared" si="3"/>
        <v>pm</v>
      </c>
      <c r="G56" s="420" t="s">
        <v>156</v>
      </c>
      <c r="H56" s="420" t="s">
        <v>273</v>
      </c>
      <c r="I56" s="420" t="s">
        <v>324</v>
      </c>
      <c r="K56" s="421">
        <f t="shared" si="4"/>
        <v>1176.7513934507317</v>
      </c>
      <c r="M56" s="421">
        <v>1200</v>
      </c>
      <c r="P56" s="420">
        <v>1176.7513934507317</v>
      </c>
    </row>
    <row r="57" spans="1:16" x14ac:dyDescent="0.3">
      <c r="A57" s="420">
        <v>2</v>
      </c>
      <c r="C57" s="420">
        <f t="shared" si="0"/>
        <v>51</v>
      </c>
      <c r="D57" s="420">
        <f t="shared" si="1"/>
        <v>51</v>
      </c>
      <c r="E57" s="420">
        <f t="shared" si="2"/>
        <v>12</v>
      </c>
      <c r="F57" s="420" t="str">
        <f t="shared" si="3"/>
        <v>pm</v>
      </c>
      <c r="G57" s="420" t="s">
        <v>325</v>
      </c>
      <c r="H57" s="420" t="s">
        <v>273</v>
      </c>
      <c r="I57" s="420" t="s">
        <v>326</v>
      </c>
      <c r="K57" s="421">
        <f t="shared" si="4"/>
        <v>1200</v>
      </c>
      <c r="M57" s="421">
        <v>1200</v>
      </c>
    </row>
    <row r="58" spans="1:16" x14ac:dyDescent="0.3">
      <c r="A58" s="420">
        <v>1</v>
      </c>
      <c r="C58" s="420">
        <f t="shared" si="0"/>
        <v>52</v>
      </c>
      <c r="D58" s="420">
        <f t="shared" si="1"/>
        <v>51</v>
      </c>
      <c r="E58" s="420">
        <f t="shared" si="2"/>
        <v>12</v>
      </c>
      <c r="F58" s="420" t="str">
        <f t="shared" si="3"/>
        <v>pmx</v>
      </c>
      <c r="G58" s="420" t="s">
        <v>327</v>
      </c>
      <c r="H58" s="420" t="s">
        <v>328</v>
      </c>
      <c r="I58" s="420" t="s">
        <v>329</v>
      </c>
      <c r="K58" s="421">
        <f t="shared" si="4"/>
        <v>1200</v>
      </c>
      <c r="M58" s="421">
        <v>1200</v>
      </c>
    </row>
    <row r="59" spans="1:16" x14ac:dyDescent="0.3">
      <c r="A59" s="420">
        <v>3</v>
      </c>
      <c r="C59" s="420">
        <f t="shared" si="0"/>
        <v>53</v>
      </c>
      <c r="D59" s="420">
        <f t="shared" si="1"/>
        <v>51</v>
      </c>
      <c r="E59" s="420">
        <f t="shared" si="2"/>
        <v>12</v>
      </c>
      <c r="F59" s="420" t="str">
        <f t="shared" si="3"/>
        <v>pm</v>
      </c>
      <c r="G59" s="420" t="s">
        <v>330</v>
      </c>
      <c r="H59" s="420" t="s">
        <v>331</v>
      </c>
      <c r="I59" s="420" t="s">
        <v>332</v>
      </c>
      <c r="K59" s="421">
        <f t="shared" si="4"/>
        <v>1200</v>
      </c>
      <c r="M59" s="421">
        <v>1200</v>
      </c>
    </row>
    <row r="60" spans="1:16" x14ac:dyDescent="0.3">
      <c r="A60" s="420">
        <v>4</v>
      </c>
      <c r="C60" s="420">
        <f t="shared" si="0"/>
        <v>54</v>
      </c>
      <c r="D60" s="420">
        <f t="shared" si="1"/>
        <v>54</v>
      </c>
      <c r="E60" s="420">
        <f t="shared" si="2"/>
        <v>12</v>
      </c>
      <c r="F60" s="420" t="str">
        <f t="shared" si="3"/>
        <v>pm</v>
      </c>
      <c r="G60" s="420" t="s">
        <v>144</v>
      </c>
      <c r="H60" s="420" t="s">
        <v>288</v>
      </c>
      <c r="I60" s="420" t="s">
        <v>159</v>
      </c>
      <c r="K60" s="421">
        <f t="shared" si="4"/>
        <v>1189.1105508037228</v>
      </c>
      <c r="M60" s="421">
        <v>1200</v>
      </c>
      <c r="P60" s="420">
        <v>1189.1105508037228</v>
      </c>
    </row>
    <row r="61" spans="1:16" x14ac:dyDescent="0.3">
      <c r="A61" s="420">
        <v>4</v>
      </c>
      <c r="C61" s="420">
        <f t="shared" si="0"/>
        <v>55</v>
      </c>
      <c r="D61" s="420">
        <f t="shared" si="1"/>
        <v>55</v>
      </c>
      <c r="E61" s="420">
        <f t="shared" si="2"/>
        <v>12</v>
      </c>
      <c r="F61" s="420" t="str">
        <f t="shared" si="3"/>
        <v>pm</v>
      </c>
      <c r="G61" s="420" t="s">
        <v>146</v>
      </c>
      <c r="H61" s="420" t="s">
        <v>288</v>
      </c>
      <c r="I61" s="420" t="s">
        <v>161</v>
      </c>
      <c r="K61" s="421">
        <f t="shared" si="4"/>
        <v>1298.5668972647138</v>
      </c>
      <c r="M61" s="421">
        <v>1200</v>
      </c>
      <c r="P61" s="420">
        <v>1298.5668972647138</v>
      </c>
    </row>
    <row r="62" spans="1:16" x14ac:dyDescent="0.3">
      <c r="A62" s="420">
        <v>3</v>
      </c>
      <c r="C62" s="420">
        <f t="shared" si="0"/>
        <v>56</v>
      </c>
      <c r="D62" s="420">
        <f t="shared" si="1"/>
        <v>56</v>
      </c>
      <c r="E62" s="420">
        <f t="shared" si="2"/>
        <v>12</v>
      </c>
      <c r="F62" s="420" t="str">
        <f t="shared" si="3"/>
        <v>pm</v>
      </c>
      <c r="G62" s="420" t="s">
        <v>333</v>
      </c>
      <c r="H62" s="420" t="s">
        <v>334</v>
      </c>
      <c r="I62" s="420" t="s">
        <v>335</v>
      </c>
      <c r="K62" s="421">
        <f t="shared" si="4"/>
        <v>1200</v>
      </c>
      <c r="M62" s="421">
        <v>1200</v>
      </c>
    </row>
    <row r="63" spans="1:16" x14ac:dyDescent="0.3">
      <c r="A63" s="420">
        <v>2</v>
      </c>
      <c r="C63" s="420">
        <f t="shared" si="0"/>
        <v>57</v>
      </c>
      <c r="D63" s="420">
        <f t="shared" si="1"/>
        <v>56</v>
      </c>
      <c r="E63" s="420">
        <f t="shared" si="2"/>
        <v>12</v>
      </c>
      <c r="F63" s="420" t="str">
        <f t="shared" si="3"/>
        <v>cr</v>
      </c>
      <c r="G63" s="420" t="s">
        <v>336</v>
      </c>
      <c r="H63" s="420" t="s">
        <v>197</v>
      </c>
      <c r="I63" s="420" t="s">
        <v>337</v>
      </c>
      <c r="K63" s="421">
        <f t="shared" si="4"/>
        <v>1200</v>
      </c>
      <c r="M63" s="421">
        <v>1200</v>
      </c>
    </row>
    <row r="64" spans="1:16" x14ac:dyDescent="0.3">
      <c r="A64" s="420">
        <v>6</v>
      </c>
      <c r="C64" s="420">
        <f t="shared" si="0"/>
        <v>1</v>
      </c>
      <c r="D64" s="420">
        <f t="shared" si="1"/>
        <v>1</v>
      </c>
      <c r="E64" s="420">
        <f t="shared" si="2"/>
        <v>13</v>
      </c>
      <c r="F64" s="420" t="str">
        <f t="shared" si="3"/>
        <v>pm</v>
      </c>
      <c r="G64" s="420" t="s">
        <v>338</v>
      </c>
      <c r="H64" s="420" t="s">
        <v>261</v>
      </c>
      <c r="I64" s="420" t="s">
        <v>339</v>
      </c>
      <c r="K64" s="421">
        <f t="shared" si="4"/>
        <v>1987.6646605891308</v>
      </c>
      <c r="M64" s="421">
        <v>2000</v>
      </c>
      <c r="O64" s="420">
        <v>2060.3419653407827</v>
      </c>
      <c r="P64" s="420">
        <v>1987.6646605891308</v>
      </c>
    </row>
    <row r="65" spans="1:16" x14ac:dyDescent="0.3">
      <c r="A65" s="420">
        <v>4</v>
      </c>
      <c r="C65" s="420">
        <f t="shared" si="0"/>
        <v>2</v>
      </c>
      <c r="D65" s="420">
        <f t="shared" si="1"/>
        <v>2</v>
      </c>
      <c r="E65" s="420">
        <f t="shared" si="2"/>
        <v>13</v>
      </c>
      <c r="F65" s="420" t="str">
        <f t="shared" si="3"/>
        <v>pm</v>
      </c>
      <c r="G65" s="420" t="s">
        <v>340</v>
      </c>
      <c r="H65" s="420" t="s">
        <v>224</v>
      </c>
      <c r="I65" s="420" t="s">
        <v>341</v>
      </c>
      <c r="K65" s="421">
        <f t="shared" si="4"/>
        <v>1889.35082931787</v>
      </c>
      <c r="M65" s="421">
        <v>2000</v>
      </c>
      <c r="O65" s="420">
        <v>1889.35082931787</v>
      </c>
    </row>
    <row r="66" spans="1:16" x14ac:dyDescent="0.3">
      <c r="A66" s="420">
        <v>5</v>
      </c>
      <c r="C66" s="420">
        <f t="shared" ref="C66:C129" si="5">IF(E66=E65,C65+1,1)</f>
        <v>3</v>
      </c>
      <c r="D66" s="420">
        <f t="shared" ref="D66:D129" si="6">IF(K66=K65,D65,C66)</f>
        <v>3</v>
      </c>
      <c r="E66" s="420">
        <f t="shared" ref="E66:E129" si="7">10+VALUE(RIGHT(LEFT(G66,3),1))</f>
        <v>13</v>
      </c>
      <c r="F66" s="420" t="str">
        <f t="shared" ref="F66:F129" si="8">RIGHT(G66,2) &amp; IF(A66&lt;2,"x","")</f>
        <v>pm</v>
      </c>
      <c r="G66" s="420" t="s">
        <v>342</v>
      </c>
      <c r="H66" s="420" t="s">
        <v>224</v>
      </c>
      <c r="I66" s="420" t="s">
        <v>343</v>
      </c>
      <c r="K66" s="421">
        <f t="shared" ref="K66:K129" si="9">LOOKUP(1E+100,M66:AB66)</f>
        <v>1978.843978202189</v>
      </c>
      <c r="M66" s="421">
        <v>2000</v>
      </c>
      <c r="O66" s="420">
        <v>1978.843978202189</v>
      </c>
    </row>
    <row r="67" spans="1:16" x14ac:dyDescent="0.3">
      <c r="A67" s="420">
        <v>5</v>
      </c>
      <c r="C67" s="420">
        <f t="shared" si="5"/>
        <v>4</v>
      </c>
      <c r="D67" s="420">
        <f t="shared" si="6"/>
        <v>4</v>
      </c>
      <c r="E67" s="420">
        <f t="shared" si="7"/>
        <v>13</v>
      </c>
      <c r="F67" s="420" t="str">
        <f t="shared" si="8"/>
        <v>pm</v>
      </c>
      <c r="G67" s="420" t="s">
        <v>344</v>
      </c>
      <c r="H67" s="420" t="s">
        <v>224</v>
      </c>
      <c r="I67" s="420" t="s">
        <v>345</v>
      </c>
      <c r="K67" s="421">
        <f t="shared" si="9"/>
        <v>1966.1739071777461</v>
      </c>
      <c r="M67" s="421">
        <v>2000</v>
      </c>
      <c r="O67" s="420">
        <v>1966.1739071777461</v>
      </c>
    </row>
    <row r="68" spans="1:16" x14ac:dyDescent="0.3">
      <c r="A68" s="420">
        <v>7</v>
      </c>
      <c r="C68" s="420">
        <f t="shared" si="5"/>
        <v>5</v>
      </c>
      <c r="D68" s="420">
        <f t="shared" si="6"/>
        <v>5</v>
      </c>
      <c r="E68" s="420">
        <f t="shared" si="7"/>
        <v>13</v>
      </c>
      <c r="F68" s="420" t="str">
        <f t="shared" si="8"/>
        <v>pm</v>
      </c>
      <c r="G68" s="420" t="s">
        <v>346</v>
      </c>
      <c r="H68" s="420" t="s">
        <v>278</v>
      </c>
      <c r="I68" s="420" t="s">
        <v>347</v>
      </c>
      <c r="K68" s="421">
        <f t="shared" si="9"/>
        <v>2166.6401899886919</v>
      </c>
      <c r="M68" s="421">
        <v>2000</v>
      </c>
      <c r="O68" s="420">
        <v>2082.9615061596824</v>
      </c>
      <c r="P68" s="420">
        <v>2166.6401899886919</v>
      </c>
    </row>
    <row r="69" spans="1:16" x14ac:dyDescent="0.3">
      <c r="A69" s="420">
        <v>3</v>
      </c>
      <c r="C69" s="420">
        <f t="shared" si="5"/>
        <v>6</v>
      </c>
      <c r="D69" s="420">
        <f t="shared" si="6"/>
        <v>6</v>
      </c>
      <c r="E69" s="420">
        <f t="shared" si="7"/>
        <v>13</v>
      </c>
      <c r="F69" s="420" t="str">
        <f t="shared" si="8"/>
        <v>pm</v>
      </c>
      <c r="G69" s="420" t="s">
        <v>348</v>
      </c>
      <c r="H69" s="420" t="s">
        <v>349</v>
      </c>
      <c r="I69" s="420" t="s">
        <v>350</v>
      </c>
      <c r="K69" s="421">
        <f t="shared" si="9"/>
        <v>2000</v>
      </c>
      <c r="M69" s="421">
        <v>2000</v>
      </c>
    </row>
    <row r="70" spans="1:16" x14ac:dyDescent="0.3">
      <c r="A70" s="420">
        <v>1</v>
      </c>
      <c r="C70" s="420">
        <f t="shared" si="5"/>
        <v>7</v>
      </c>
      <c r="D70" s="420">
        <f t="shared" si="6"/>
        <v>6</v>
      </c>
      <c r="E70" s="420">
        <f t="shared" si="7"/>
        <v>13</v>
      </c>
      <c r="F70" s="420" t="str">
        <f t="shared" si="8"/>
        <v>pmx</v>
      </c>
      <c r="G70" s="420" t="s">
        <v>351</v>
      </c>
      <c r="H70" s="420" t="s">
        <v>352</v>
      </c>
      <c r="I70" s="420" t="s">
        <v>353</v>
      </c>
      <c r="K70" s="421">
        <f t="shared" si="9"/>
        <v>2000</v>
      </c>
      <c r="M70" s="421">
        <v>2000</v>
      </c>
    </row>
    <row r="71" spans="1:16" x14ac:dyDescent="0.3">
      <c r="A71" s="420">
        <v>1</v>
      </c>
      <c r="C71" s="420">
        <f t="shared" si="5"/>
        <v>8</v>
      </c>
      <c r="D71" s="420">
        <f t="shared" si="6"/>
        <v>8</v>
      </c>
      <c r="E71" s="420">
        <f t="shared" si="7"/>
        <v>13</v>
      </c>
      <c r="F71" s="420" t="str">
        <f t="shared" si="8"/>
        <v>pmx</v>
      </c>
      <c r="G71" s="420" t="s">
        <v>354</v>
      </c>
      <c r="H71" s="420" t="s">
        <v>192</v>
      </c>
      <c r="I71" s="420" t="s">
        <v>355</v>
      </c>
      <c r="K71" s="421">
        <f t="shared" si="9"/>
        <v>2133.242093718723</v>
      </c>
      <c r="M71" s="421">
        <v>2000</v>
      </c>
      <c r="P71" s="420">
        <v>2133.242093718723</v>
      </c>
    </row>
    <row r="72" spans="1:16" x14ac:dyDescent="0.3">
      <c r="A72" s="420">
        <v>1</v>
      </c>
      <c r="C72" s="420">
        <f t="shared" si="5"/>
        <v>9</v>
      </c>
      <c r="D72" s="420">
        <f t="shared" si="6"/>
        <v>9</v>
      </c>
      <c r="E72" s="420">
        <f t="shared" si="7"/>
        <v>13</v>
      </c>
      <c r="F72" s="420" t="str">
        <f t="shared" si="8"/>
        <v>pmx</v>
      </c>
      <c r="G72" s="420" t="s">
        <v>356</v>
      </c>
      <c r="H72" s="420" t="s">
        <v>192</v>
      </c>
      <c r="I72" s="420" t="s">
        <v>357</v>
      </c>
      <c r="K72" s="421">
        <f t="shared" si="9"/>
        <v>1978.1601622751334</v>
      </c>
      <c r="M72" s="421">
        <v>2000</v>
      </c>
      <c r="P72" s="420">
        <v>1978.1601622751334</v>
      </c>
    </row>
    <row r="73" spans="1:16" x14ac:dyDescent="0.3">
      <c r="A73" s="420">
        <v>5</v>
      </c>
      <c r="C73" s="420">
        <f t="shared" si="5"/>
        <v>10</v>
      </c>
      <c r="D73" s="420">
        <f t="shared" si="6"/>
        <v>10</v>
      </c>
      <c r="E73" s="420">
        <f t="shared" si="7"/>
        <v>13</v>
      </c>
      <c r="F73" s="420" t="str">
        <f t="shared" si="8"/>
        <v>pm</v>
      </c>
      <c r="G73" s="420" t="s">
        <v>358</v>
      </c>
      <c r="H73" s="420" t="s">
        <v>215</v>
      </c>
      <c r="I73" s="420" t="s">
        <v>359</v>
      </c>
      <c r="K73" s="421">
        <f t="shared" si="9"/>
        <v>2063.7160280611906</v>
      </c>
      <c r="M73" s="421">
        <v>2000</v>
      </c>
      <c r="P73" s="420">
        <v>2063.7160280611906</v>
      </c>
    </row>
    <row r="74" spans="1:16" x14ac:dyDescent="0.3">
      <c r="A74" s="420">
        <v>5</v>
      </c>
      <c r="C74" s="420">
        <f t="shared" si="5"/>
        <v>11</v>
      </c>
      <c r="D74" s="420">
        <f t="shared" si="6"/>
        <v>11</v>
      </c>
      <c r="E74" s="420">
        <f t="shared" si="7"/>
        <v>13</v>
      </c>
      <c r="F74" s="420" t="str">
        <f t="shared" si="8"/>
        <v>pm</v>
      </c>
      <c r="G74" s="420" t="s">
        <v>360</v>
      </c>
      <c r="H74" s="420" t="s">
        <v>215</v>
      </c>
      <c r="I74" s="420" t="s">
        <v>361</v>
      </c>
      <c r="K74" s="421">
        <f t="shared" si="9"/>
        <v>1978.7125428643328</v>
      </c>
      <c r="M74" s="421">
        <v>2000</v>
      </c>
      <c r="P74" s="420">
        <v>1978.7125428643328</v>
      </c>
    </row>
    <row r="75" spans="1:16" x14ac:dyDescent="0.3">
      <c r="A75" s="420">
        <v>6</v>
      </c>
      <c r="C75" s="420">
        <f t="shared" si="5"/>
        <v>12</v>
      </c>
      <c r="D75" s="420">
        <f t="shared" si="6"/>
        <v>12</v>
      </c>
      <c r="E75" s="420">
        <f t="shared" si="7"/>
        <v>13</v>
      </c>
      <c r="F75" s="420" t="str">
        <f t="shared" si="8"/>
        <v>pm</v>
      </c>
      <c r="G75" s="420" t="s">
        <v>362</v>
      </c>
      <c r="H75" s="420" t="s">
        <v>288</v>
      </c>
      <c r="I75" s="420" t="s">
        <v>363</v>
      </c>
      <c r="K75" s="421">
        <f t="shared" si="9"/>
        <v>1941.3772442307425</v>
      </c>
      <c r="M75" s="421">
        <v>2000</v>
      </c>
      <c r="O75" s="420">
        <v>1941.3772442307425</v>
      </c>
    </row>
    <row r="76" spans="1:16" x14ac:dyDescent="0.3">
      <c r="A76" s="420">
        <v>2</v>
      </c>
      <c r="C76" s="420">
        <f t="shared" si="5"/>
        <v>13</v>
      </c>
      <c r="D76" s="420">
        <f t="shared" si="6"/>
        <v>13</v>
      </c>
      <c r="E76" s="420">
        <f t="shared" si="7"/>
        <v>13</v>
      </c>
      <c r="F76" s="420" t="str">
        <f t="shared" si="8"/>
        <v>pm</v>
      </c>
      <c r="G76" s="420" t="s">
        <v>364</v>
      </c>
      <c r="H76" s="420" t="s">
        <v>227</v>
      </c>
      <c r="I76" s="420" t="s">
        <v>365</v>
      </c>
      <c r="K76" s="421">
        <f t="shared" si="9"/>
        <v>2000</v>
      </c>
      <c r="M76" s="421">
        <v>2000</v>
      </c>
    </row>
    <row r="77" spans="1:16" x14ac:dyDescent="0.3">
      <c r="A77" s="420">
        <v>2</v>
      </c>
      <c r="C77" s="420">
        <f t="shared" si="5"/>
        <v>14</v>
      </c>
      <c r="D77" s="420">
        <f t="shared" si="6"/>
        <v>13</v>
      </c>
      <c r="E77" s="420">
        <f t="shared" si="7"/>
        <v>13</v>
      </c>
      <c r="F77" s="420" t="str">
        <f t="shared" si="8"/>
        <v>pm</v>
      </c>
      <c r="G77" s="420" t="s">
        <v>366</v>
      </c>
      <c r="H77" s="420" t="s">
        <v>221</v>
      </c>
      <c r="I77" s="420" t="s">
        <v>367</v>
      </c>
      <c r="K77" s="421">
        <f t="shared" si="9"/>
        <v>2000</v>
      </c>
      <c r="M77" s="421">
        <v>2000</v>
      </c>
    </row>
    <row r="78" spans="1:16" x14ac:dyDescent="0.3">
      <c r="A78" s="420">
        <v>1</v>
      </c>
      <c r="C78" s="420">
        <f t="shared" si="5"/>
        <v>15</v>
      </c>
      <c r="D78" s="420">
        <f t="shared" si="6"/>
        <v>13</v>
      </c>
      <c r="E78" s="420">
        <f t="shared" si="7"/>
        <v>13</v>
      </c>
      <c r="F78" s="420" t="str">
        <f t="shared" si="8"/>
        <v>crx</v>
      </c>
      <c r="G78" s="420" t="s">
        <v>368</v>
      </c>
      <c r="H78" s="420" t="s">
        <v>369</v>
      </c>
      <c r="I78" s="420" t="s">
        <v>370</v>
      </c>
      <c r="K78" s="421">
        <f t="shared" si="9"/>
        <v>2000</v>
      </c>
      <c r="M78" s="421">
        <v>2000</v>
      </c>
    </row>
    <row r="79" spans="1:16" x14ac:dyDescent="0.3">
      <c r="A79" s="420">
        <v>1</v>
      </c>
      <c r="C79" s="420">
        <f t="shared" si="5"/>
        <v>16</v>
      </c>
      <c r="D79" s="420">
        <f t="shared" si="6"/>
        <v>13</v>
      </c>
      <c r="E79" s="420">
        <f t="shared" si="7"/>
        <v>13</v>
      </c>
      <c r="F79" s="420" t="str">
        <f t="shared" si="8"/>
        <v>crx</v>
      </c>
      <c r="G79" s="420" t="s">
        <v>371</v>
      </c>
      <c r="H79" s="420" t="s">
        <v>372</v>
      </c>
      <c r="I79" s="420" t="s">
        <v>373</v>
      </c>
      <c r="K79" s="421">
        <f t="shared" si="9"/>
        <v>2000</v>
      </c>
      <c r="M79" s="421">
        <v>2000</v>
      </c>
    </row>
    <row r="80" spans="1:16" x14ac:dyDescent="0.3">
      <c r="A80" s="420">
        <v>1</v>
      </c>
      <c r="C80" s="420">
        <f t="shared" si="5"/>
        <v>17</v>
      </c>
      <c r="D80" s="420">
        <f t="shared" si="6"/>
        <v>13</v>
      </c>
      <c r="E80" s="420">
        <f t="shared" si="7"/>
        <v>13</v>
      </c>
      <c r="F80" s="420" t="str">
        <f t="shared" si="8"/>
        <v>sox</v>
      </c>
      <c r="G80" s="420" t="s">
        <v>374</v>
      </c>
      <c r="H80" s="420" t="s">
        <v>375</v>
      </c>
      <c r="I80" s="420" t="s">
        <v>376</v>
      </c>
      <c r="K80" s="421">
        <f t="shared" si="9"/>
        <v>2000</v>
      </c>
      <c r="M80" s="421">
        <v>2000</v>
      </c>
    </row>
    <row r="81" spans="1:16" x14ac:dyDescent="0.3">
      <c r="A81" s="420">
        <v>6</v>
      </c>
      <c r="C81" s="420">
        <f t="shared" si="5"/>
        <v>18</v>
      </c>
      <c r="D81" s="420">
        <f t="shared" si="6"/>
        <v>18</v>
      </c>
      <c r="E81" s="420">
        <f t="shared" si="7"/>
        <v>13</v>
      </c>
      <c r="F81" s="420" t="str">
        <f t="shared" si="8"/>
        <v>pm</v>
      </c>
      <c r="G81" s="420" t="s">
        <v>377</v>
      </c>
      <c r="H81" s="420" t="s">
        <v>288</v>
      </c>
      <c r="I81" s="420" t="s">
        <v>378</v>
      </c>
      <c r="K81" s="421">
        <f t="shared" si="9"/>
        <v>1966.6666666666667</v>
      </c>
      <c r="M81" s="421">
        <v>1966.6666666666667</v>
      </c>
    </row>
    <row r="82" spans="1:16" x14ac:dyDescent="0.3">
      <c r="A82" s="420">
        <v>4</v>
      </c>
      <c r="C82" s="420">
        <f t="shared" si="5"/>
        <v>19</v>
      </c>
      <c r="D82" s="420">
        <f t="shared" si="6"/>
        <v>19</v>
      </c>
      <c r="E82" s="420">
        <f t="shared" si="7"/>
        <v>13</v>
      </c>
      <c r="F82" s="420" t="str">
        <f t="shared" si="8"/>
        <v>pm</v>
      </c>
      <c r="G82" s="420" t="s">
        <v>379</v>
      </c>
      <c r="H82" s="420" t="s">
        <v>352</v>
      </c>
      <c r="I82" s="420" t="s">
        <v>380</v>
      </c>
      <c r="K82" s="421">
        <f t="shared" si="9"/>
        <v>1900</v>
      </c>
      <c r="M82" s="421">
        <v>1900</v>
      </c>
    </row>
    <row r="83" spans="1:16" x14ac:dyDescent="0.3">
      <c r="A83" s="420">
        <v>3</v>
      </c>
      <c r="C83" s="420">
        <f t="shared" si="5"/>
        <v>20</v>
      </c>
      <c r="D83" s="420">
        <f t="shared" si="6"/>
        <v>20</v>
      </c>
      <c r="E83" s="420">
        <f t="shared" si="7"/>
        <v>13</v>
      </c>
      <c r="F83" s="420" t="str">
        <f t="shared" si="8"/>
        <v>pm</v>
      </c>
      <c r="G83" s="420" t="s">
        <v>381</v>
      </c>
      <c r="H83" s="420" t="s">
        <v>215</v>
      </c>
      <c r="I83" s="420" t="s">
        <v>382</v>
      </c>
      <c r="K83" s="421">
        <f t="shared" si="9"/>
        <v>1879.0445986616371</v>
      </c>
      <c r="M83" s="421">
        <v>1866.6666666666667</v>
      </c>
      <c r="P83" s="420">
        <v>1879.0445986616371</v>
      </c>
    </row>
    <row r="84" spans="1:16" x14ac:dyDescent="0.3">
      <c r="A84" s="420">
        <v>3</v>
      </c>
      <c r="C84" s="420">
        <f t="shared" si="5"/>
        <v>21</v>
      </c>
      <c r="D84" s="420">
        <f t="shared" si="6"/>
        <v>21</v>
      </c>
      <c r="E84" s="420">
        <f t="shared" si="7"/>
        <v>13</v>
      </c>
      <c r="F84" s="420" t="str">
        <f t="shared" si="8"/>
        <v>so</v>
      </c>
      <c r="G84" s="420" t="s">
        <v>383</v>
      </c>
      <c r="H84" s="420" t="s">
        <v>384</v>
      </c>
      <c r="I84" s="420" t="s">
        <v>385</v>
      </c>
      <c r="K84" s="421">
        <f t="shared" si="9"/>
        <v>1732.406816864474</v>
      </c>
      <c r="M84" s="421">
        <v>1733.3333333333333</v>
      </c>
      <c r="P84" s="420">
        <v>1732.406816864474</v>
      </c>
    </row>
    <row r="85" spans="1:16" x14ac:dyDescent="0.3">
      <c r="A85" s="420">
        <v>4</v>
      </c>
      <c r="C85" s="420">
        <f t="shared" si="5"/>
        <v>22</v>
      </c>
      <c r="D85" s="420">
        <f t="shared" si="6"/>
        <v>22</v>
      </c>
      <c r="E85" s="420">
        <f t="shared" si="7"/>
        <v>13</v>
      </c>
      <c r="F85" s="420" t="str">
        <f t="shared" si="8"/>
        <v>pm</v>
      </c>
      <c r="G85" s="420" t="s">
        <v>386</v>
      </c>
      <c r="H85" s="420" t="s">
        <v>283</v>
      </c>
      <c r="I85" s="420" t="s">
        <v>387</v>
      </c>
      <c r="K85" s="421">
        <f t="shared" si="9"/>
        <v>1710.6470272643505</v>
      </c>
      <c r="M85" s="421">
        <v>1700</v>
      </c>
      <c r="P85" s="420">
        <v>1710.6470272643505</v>
      </c>
    </row>
    <row r="86" spans="1:16" x14ac:dyDescent="0.3">
      <c r="A86" s="420">
        <v>5</v>
      </c>
      <c r="C86" s="420">
        <f t="shared" si="5"/>
        <v>23</v>
      </c>
      <c r="D86" s="420">
        <f t="shared" si="6"/>
        <v>23</v>
      </c>
      <c r="E86" s="420">
        <f t="shared" si="7"/>
        <v>13</v>
      </c>
      <c r="F86" s="420" t="str">
        <f t="shared" si="8"/>
        <v>pm</v>
      </c>
      <c r="G86" s="420" t="s">
        <v>388</v>
      </c>
      <c r="H86" s="420" t="s">
        <v>264</v>
      </c>
      <c r="I86" s="420" t="s">
        <v>389</v>
      </c>
      <c r="K86" s="421">
        <f t="shared" si="9"/>
        <v>1781.2397204790218</v>
      </c>
      <c r="M86" s="421">
        <v>1680</v>
      </c>
      <c r="P86" s="420">
        <v>1781.2397204790218</v>
      </c>
    </row>
    <row r="87" spans="1:16" x14ac:dyDescent="0.3">
      <c r="A87" s="420">
        <v>1</v>
      </c>
      <c r="C87" s="420">
        <f t="shared" si="5"/>
        <v>24</v>
      </c>
      <c r="D87" s="420">
        <f t="shared" si="6"/>
        <v>24</v>
      </c>
      <c r="E87" s="420">
        <f t="shared" si="7"/>
        <v>13</v>
      </c>
      <c r="F87" s="420" t="str">
        <f t="shared" si="8"/>
        <v>pmx</v>
      </c>
      <c r="G87" s="420" t="s">
        <v>390</v>
      </c>
      <c r="H87" s="420" t="s">
        <v>237</v>
      </c>
      <c r="I87" s="420" t="s">
        <v>391</v>
      </c>
      <c r="K87" s="421">
        <f t="shared" si="9"/>
        <v>1600</v>
      </c>
      <c r="M87" s="421">
        <v>1600</v>
      </c>
    </row>
    <row r="88" spans="1:16" x14ac:dyDescent="0.3">
      <c r="A88" s="420">
        <v>3</v>
      </c>
      <c r="C88" s="420">
        <f t="shared" si="5"/>
        <v>25</v>
      </c>
      <c r="D88" s="420">
        <f t="shared" si="6"/>
        <v>25</v>
      </c>
      <c r="E88" s="420">
        <f t="shared" si="7"/>
        <v>13</v>
      </c>
      <c r="F88" s="420" t="str">
        <f t="shared" si="8"/>
        <v>pm</v>
      </c>
      <c r="G88" s="420" t="s">
        <v>392</v>
      </c>
      <c r="H88" s="420" t="s">
        <v>243</v>
      </c>
      <c r="I88" s="420" t="s">
        <v>393</v>
      </c>
      <c r="K88" s="421">
        <f t="shared" si="9"/>
        <v>1724.4275462175704</v>
      </c>
      <c r="M88" s="421">
        <v>1600</v>
      </c>
      <c r="N88" s="420">
        <v>1734.5689277635004</v>
      </c>
      <c r="P88" s="420">
        <v>1724.4275462175704</v>
      </c>
    </row>
    <row r="89" spans="1:16" x14ac:dyDescent="0.3">
      <c r="A89" s="420">
        <v>3</v>
      </c>
      <c r="C89" s="420">
        <f t="shared" si="5"/>
        <v>26</v>
      </c>
      <c r="D89" s="420">
        <f t="shared" si="6"/>
        <v>26</v>
      </c>
      <c r="E89" s="420">
        <f t="shared" si="7"/>
        <v>13</v>
      </c>
      <c r="F89" s="420" t="str">
        <f t="shared" si="8"/>
        <v>pm</v>
      </c>
      <c r="G89" s="420" t="s">
        <v>394</v>
      </c>
      <c r="H89" s="420" t="s">
        <v>243</v>
      </c>
      <c r="I89" s="420" t="s">
        <v>395</v>
      </c>
      <c r="K89" s="421">
        <f t="shared" si="9"/>
        <v>1675.5610946866284</v>
      </c>
      <c r="M89" s="421">
        <v>1600</v>
      </c>
      <c r="P89" s="420">
        <v>1675.5610946866284</v>
      </c>
    </row>
    <row r="90" spans="1:16" x14ac:dyDescent="0.3">
      <c r="A90" s="420">
        <v>3</v>
      </c>
      <c r="C90" s="420">
        <f t="shared" si="5"/>
        <v>27</v>
      </c>
      <c r="D90" s="420">
        <f t="shared" si="6"/>
        <v>27</v>
      </c>
      <c r="E90" s="420">
        <f t="shared" si="7"/>
        <v>13</v>
      </c>
      <c r="F90" s="420" t="str">
        <f t="shared" si="8"/>
        <v>pm</v>
      </c>
      <c r="G90" s="420" t="s">
        <v>396</v>
      </c>
      <c r="H90" s="420" t="s">
        <v>243</v>
      </c>
      <c r="I90" s="420" t="s">
        <v>397</v>
      </c>
      <c r="K90" s="421">
        <f t="shared" si="9"/>
        <v>1607.7647501108029</v>
      </c>
      <c r="M90" s="421">
        <v>1600</v>
      </c>
      <c r="P90" s="420">
        <v>1607.7647501108029</v>
      </c>
    </row>
    <row r="91" spans="1:16" x14ac:dyDescent="0.3">
      <c r="A91" s="420">
        <v>4</v>
      </c>
      <c r="C91" s="420">
        <f t="shared" si="5"/>
        <v>28</v>
      </c>
      <c r="D91" s="420">
        <f t="shared" si="6"/>
        <v>28</v>
      </c>
      <c r="E91" s="420">
        <f t="shared" si="7"/>
        <v>13</v>
      </c>
      <c r="F91" s="420" t="str">
        <f t="shared" si="8"/>
        <v>pm</v>
      </c>
      <c r="G91" s="420" t="s">
        <v>398</v>
      </c>
      <c r="H91" s="420" t="s">
        <v>250</v>
      </c>
      <c r="I91" s="420" t="s">
        <v>399</v>
      </c>
      <c r="K91" s="421">
        <f t="shared" si="9"/>
        <v>1600</v>
      </c>
      <c r="M91" s="421">
        <v>1600</v>
      </c>
    </row>
    <row r="92" spans="1:16" x14ac:dyDescent="0.3">
      <c r="A92" s="420">
        <v>5</v>
      </c>
      <c r="C92" s="420">
        <f t="shared" si="5"/>
        <v>29</v>
      </c>
      <c r="D92" s="420">
        <f t="shared" si="6"/>
        <v>29</v>
      </c>
      <c r="E92" s="420">
        <f t="shared" si="7"/>
        <v>13</v>
      </c>
      <c r="F92" s="420" t="str">
        <f t="shared" si="8"/>
        <v>pm</v>
      </c>
      <c r="G92" s="420" t="s">
        <v>400</v>
      </c>
      <c r="H92" s="420" t="s">
        <v>253</v>
      </c>
      <c r="I92" s="420" t="s">
        <v>401</v>
      </c>
      <c r="K92" s="421">
        <f t="shared" si="9"/>
        <v>1590.7715876195714</v>
      </c>
      <c r="M92" s="421">
        <v>1600</v>
      </c>
      <c r="P92" s="420">
        <v>1590.7715876195714</v>
      </c>
    </row>
    <row r="93" spans="1:16" x14ac:dyDescent="0.3">
      <c r="A93" s="420">
        <v>5</v>
      </c>
      <c r="C93" s="420">
        <f t="shared" si="5"/>
        <v>30</v>
      </c>
      <c r="D93" s="420">
        <f t="shared" si="6"/>
        <v>30</v>
      </c>
      <c r="E93" s="420">
        <f t="shared" si="7"/>
        <v>13</v>
      </c>
      <c r="F93" s="420" t="str">
        <f t="shared" si="8"/>
        <v>pm</v>
      </c>
      <c r="G93" s="420" t="s">
        <v>402</v>
      </c>
      <c r="H93" s="420" t="s">
        <v>256</v>
      </c>
      <c r="I93" s="420" t="s">
        <v>403</v>
      </c>
      <c r="K93" s="421">
        <f t="shared" si="9"/>
        <v>1714.4274743770873</v>
      </c>
      <c r="M93" s="421">
        <v>1600</v>
      </c>
      <c r="N93" s="420">
        <v>1703.6510057867774</v>
      </c>
      <c r="P93" s="420">
        <v>1714.4274743770873</v>
      </c>
    </row>
    <row r="94" spans="1:16" x14ac:dyDescent="0.3">
      <c r="A94" s="420">
        <v>4</v>
      </c>
      <c r="C94" s="420">
        <f t="shared" si="5"/>
        <v>31</v>
      </c>
      <c r="D94" s="420">
        <f t="shared" si="6"/>
        <v>31</v>
      </c>
      <c r="E94" s="420">
        <f t="shared" si="7"/>
        <v>13</v>
      </c>
      <c r="F94" s="420" t="str">
        <f t="shared" si="8"/>
        <v>pm</v>
      </c>
      <c r="G94" s="420" t="s">
        <v>404</v>
      </c>
      <c r="H94" s="420" t="s">
        <v>256</v>
      </c>
      <c r="I94" s="420" t="s">
        <v>405</v>
      </c>
      <c r="K94" s="421">
        <f t="shared" si="9"/>
        <v>1717.3090759057159</v>
      </c>
      <c r="M94" s="421">
        <v>1600</v>
      </c>
      <c r="P94" s="420">
        <v>1717.3090759057159</v>
      </c>
    </row>
    <row r="95" spans="1:16" x14ac:dyDescent="0.3">
      <c r="A95" s="420">
        <v>6</v>
      </c>
      <c r="C95" s="420">
        <f t="shared" si="5"/>
        <v>32</v>
      </c>
      <c r="D95" s="420">
        <f t="shared" si="6"/>
        <v>32</v>
      </c>
      <c r="E95" s="420">
        <f t="shared" si="7"/>
        <v>13</v>
      </c>
      <c r="F95" s="420" t="str">
        <f t="shared" si="8"/>
        <v>pm</v>
      </c>
      <c r="G95" s="420" t="s">
        <v>406</v>
      </c>
      <c r="H95" s="420" t="s">
        <v>261</v>
      </c>
      <c r="I95" s="420" t="s">
        <v>407</v>
      </c>
      <c r="K95" s="421">
        <f t="shared" si="9"/>
        <v>1616.737428819403</v>
      </c>
      <c r="M95" s="421">
        <v>1600</v>
      </c>
      <c r="P95" s="420">
        <v>1616.737428819403</v>
      </c>
    </row>
    <row r="96" spans="1:16" x14ac:dyDescent="0.3">
      <c r="A96" s="420">
        <v>4</v>
      </c>
      <c r="C96" s="420">
        <f t="shared" si="5"/>
        <v>33</v>
      </c>
      <c r="D96" s="420">
        <f t="shared" si="6"/>
        <v>33</v>
      </c>
      <c r="E96" s="420">
        <f t="shared" si="7"/>
        <v>13</v>
      </c>
      <c r="F96" s="420" t="str">
        <f t="shared" si="8"/>
        <v>pm</v>
      </c>
      <c r="G96" s="420" t="s">
        <v>408</v>
      </c>
      <c r="H96" s="420" t="s">
        <v>261</v>
      </c>
      <c r="I96" s="420" t="s">
        <v>409</v>
      </c>
      <c r="K96" s="421">
        <f t="shared" si="9"/>
        <v>1547.9196897344852</v>
      </c>
      <c r="M96" s="421">
        <v>1600</v>
      </c>
      <c r="P96" s="420">
        <v>1547.9196897344852</v>
      </c>
    </row>
    <row r="97" spans="1:16" x14ac:dyDescent="0.3">
      <c r="A97" s="420">
        <v>4</v>
      </c>
      <c r="C97" s="420">
        <f t="shared" si="5"/>
        <v>34</v>
      </c>
      <c r="D97" s="420">
        <f t="shared" si="6"/>
        <v>34</v>
      </c>
      <c r="E97" s="420">
        <f t="shared" si="7"/>
        <v>13</v>
      </c>
      <c r="F97" s="420" t="str">
        <f t="shared" si="8"/>
        <v>pm</v>
      </c>
      <c r="G97" s="420" t="s">
        <v>410</v>
      </c>
      <c r="H97" s="420" t="s">
        <v>411</v>
      </c>
      <c r="I97" s="420" t="s">
        <v>412</v>
      </c>
      <c r="K97" s="421">
        <f t="shared" si="9"/>
        <v>1579.8660708915113</v>
      </c>
      <c r="M97" s="421">
        <v>1600</v>
      </c>
      <c r="P97" s="420">
        <v>1579.8660708915113</v>
      </c>
    </row>
    <row r="98" spans="1:16" x14ac:dyDescent="0.3">
      <c r="A98" s="420">
        <v>3</v>
      </c>
      <c r="C98" s="420">
        <f t="shared" si="5"/>
        <v>35</v>
      </c>
      <c r="D98" s="420">
        <f t="shared" si="6"/>
        <v>35</v>
      </c>
      <c r="E98" s="420">
        <f t="shared" si="7"/>
        <v>13</v>
      </c>
      <c r="F98" s="420" t="str">
        <f t="shared" si="8"/>
        <v>pm</v>
      </c>
      <c r="G98" s="420" t="s">
        <v>413</v>
      </c>
      <c r="H98" s="420" t="s">
        <v>267</v>
      </c>
      <c r="I98" s="420" t="s">
        <v>414</v>
      </c>
      <c r="K98" s="421">
        <f t="shared" si="9"/>
        <v>1600</v>
      </c>
      <c r="M98" s="421">
        <v>1600</v>
      </c>
    </row>
    <row r="99" spans="1:16" x14ac:dyDescent="0.3">
      <c r="A99" s="420">
        <v>7</v>
      </c>
      <c r="C99" s="420">
        <f t="shared" si="5"/>
        <v>36</v>
      </c>
      <c r="D99" s="420">
        <f t="shared" si="6"/>
        <v>36</v>
      </c>
      <c r="E99" s="420">
        <f t="shared" si="7"/>
        <v>13</v>
      </c>
      <c r="F99" s="420" t="str">
        <f t="shared" si="8"/>
        <v>pm</v>
      </c>
      <c r="G99" s="420" t="s">
        <v>415</v>
      </c>
      <c r="H99" s="420" t="s">
        <v>416</v>
      </c>
      <c r="I99" s="420" t="s">
        <v>417</v>
      </c>
      <c r="K99" s="421">
        <f t="shared" si="9"/>
        <v>1451.1605393968732</v>
      </c>
      <c r="M99" s="421">
        <v>1600</v>
      </c>
      <c r="N99" s="420">
        <v>1534.3498710699218</v>
      </c>
      <c r="P99" s="420">
        <v>1451.1605393968732</v>
      </c>
    </row>
    <row r="100" spans="1:16" x14ac:dyDescent="0.3">
      <c r="A100" s="420">
        <v>6</v>
      </c>
      <c r="C100" s="420">
        <f t="shared" si="5"/>
        <v>37</v>
      </c>
      <c r="D100" s="420">
        <f t="shared" si="6"/>
        <v>37</v>
      </c>
      <c r="E100" s="420">
        <f t="shared" si="7"/>
        <v>13</v>
      </c>
      <c r="F100" s="420" t="str">
        <f t="shared" si="8"/>
        <v>pm</v>
      </c>
      <c r="G100" s="420" t="s">
        <v>418</v>
      </c>
      <c r="H100" s="420" t="s">
        <v>224</v>
      </c>
      <c r="I100" s="420" t="s">
        <v>419</v>
      </c>
      <c r="K100" s="421">
        <f t="shared" si="9"/>
        <v>1533.7444995390174</v>
      </c>
      <c r="M100" s="421">
        <v>1600</v>
      </c>
      <c r="P100" s="420">
        <v>1533.7444995390174</v>
      </c>
    </row>
    <row r="101" spans="1:16" x14ac:dyDescent="0.3">
      <c r="A101" s="420">
        <v>6</v>
      </c>
      <c r="C101" s="420">
        <f t="shared" si="5"/>
        <v>38</v>
      </c>
      <c r="D101" s="420">
        <f t="shared" si="6"/>
        <v>38</v>
      </c>
      <c r="E101" s="420">
        <f t="shared" si="7"/>
        <v>13</v>
      </c>
      <c r="F101" s="420" t="str">
        <f t="shared" si="8"/>
        <v>pm</v>
      </c>
      <c r="G101" s="420" t="s">
        <v>420</v>
      </c>
      <c r="H101" s="420" t="s">
        <v>224</v>
      </c>
      <c r="I101" s="420" t="s">
        <v>421</v>
      </c>
      <c r="K101" s="421">
        <f t="shared" si="9"/>
        <v>1597.3879142967439</v>
      </c>
      <c r="M101" s="421">
        <v>1600</v>
      </c>
      <c r="P101" s="420">
        <v>1597.3879142967439</v>
      </c>
    </row>
    <row r="102" spans="1:16" x14ac:dyDescent="0.3">
      <c r="A102" s="420">
        <v>6</v>
      </c>
      <c r="C102" s="420">
        <f t="shared" si="5"/>
        <v>39</v>
      </c>
      <c r="D102" s="420">
        <f t="shared" si="6"/>
        <v>39</v>
      </c>
      <c r="E102" s="420">
        <f t="shared" si="7"/>
        <v>13</v>
      </c>
      <c r="F102" s="420" t="str">
        <f t="shared" si="8"/>
        <v>pm</v>
      </c>
      <c r="G102" s="420" t="s">
        <v>422</v>
      </c>
      <c r="H102" s="420" t="s">
        <v>224</v>
      </c>
      <c r="I102" s="420" t="s">
        <v>423</v>
      </c>
      <c r="K102" s="421">
        <f t="shared" si="9"/>
        <v>1648.4137496847168</v>
      </c>
      <c r="M102" s="421">
        <v>1600</v>
      </c>
      <c r="P102" s="420">
        <v>1648.4137496847168</v>
      </c>
    </row>
    <row r="103" spans="1:16" x14ac:dyDescent="0.3">
      <c r="A103" s="420">
        <v>6</v>
      </c>
      <c r="C103" s="420">
        <f t="shared" si="5"/>
        <v>40</v>
      </c>
      <c r="D103" s="420">
        <f t="shared" si="6"/>
        <v>40</v>
      </c>
      <c r="E103" s="420">
        <f t="shared" si="7"/>
        <v>13</v>
      </c>
      <c r="F103" s="420" t="str">
        <f t="shared" si="8"/>
        <v>pm</v>
      </c>
      <c r="G103" s="420" t="s">
        <v>424</v>
      </c>
      <c r="H103" s="420" t="s">
        <v>224</v>
      </c>
      <c r="I103" s="420" t="s">
        <v>425</v>
      </c>
      <c r="K103" s="421">
        <f t="shared" si="9"/>
        <v>1620.996700650938</v>
      </c>
      <c r="M103" s="421">
        <v>1600</v>
      </c>
      <c r="P103" s="420">
        <v>1620.996700650938</v>
      </c>
    </row>
    <row r="104" spans="1:16" x14ac:dyDescent="0.3">
      <c r="A104" s="420">
        <v>3</v>
      </c>
      <c r="C104" s="420">
        <f t="shared" si="5"/>
        <v>41</v>
      </c>
      <c r="D104" s="420">
        <f t="shared" si="6"/>
        <v>41</v>
      </c>
      <c r="E104" s="420">
        <f t="shared" si="7"/>
        <v>13</v>
      </c>
      <c r="F104" s="420" t="str">
        <f t="shared" si="8"/>
        <v>pm</v>
      </c>
      <c r="G104" s="420" t="s">
        <v>426</v>
      </c>
      <c r="H104" s="420" t="s">
        <v>328</v>
      </c>
      <c r="I104" s="420" t="s">
        <v>427</v>
      </c>
      <c r="K104" s="421">
        <f t="shared" si="9"/>
        <v>1600</v>
      </c>
      <c r="M104" s="421">
        <v>1600</v>
      </c>
    </row>
    <row r="105" spans="1:16" x14ac:dyDescent="0.3">
      <c r="A105" s="420">
        <v>7</v>
      </c>
      <c r="C105" s="420">
        <f t="shared" si="5"/>
        <v>42</v>
      </c>
      <c r="D105" s="420">
        <f t="shared" si="6"/>
        <v>42</v>
      </c>
      <c r="E105" s="420">
        <f t="shared" si="7"/>
        <v>13</v>
      </c>
      <c r="F105" s="420" t="str">
        <f t="shared" si="8"/>
        <v>pm</v>
      </c>
      <c r="G105" s="420" t="s">
        <v>428</v>
      </c>
      <c r="H105" s="420" t="s">
        <v>278</v>
      </c>
      <c r="I105" s="420" t="s">
        <v>429</v>
      </c>
      <c r="K105" s="421">
        <f t="shared" si="9"/>
        <v>1598.9138359307153</v>
      </c>
      <c r="M105" s="421">
        <v>1600</v>
      </c>
      <c r="N105" s="420">
        <v>1633.4553905753462</v>
      </c>
      <c r="P105" s="420">
        <v>1598.9138359307153</v>
      </c>
    </row>
    <row r="106" spans="1:16" x14ac:dyDescent="0.3">
      <c r="A106" s="420">
        <v>3</v>
      </c>
      <c r="C106" s="420">
        <f t="shared" si="5"/>
        <v>43</v>
      </c>
      <c r="D106" s="420">
        <f t="shared" si="6"/>
        <v>43</v>
      </c>
      <c r="E106" s="420">
        <f t="shared" si="7"/>
        <v>13</v>
      </c>
      <c r="F106" s="420" t="str">
        <f t="shared" si="8"/>
        <v>pm</v>
      </c>
      <c r="G106" s="420" t="s">
        <v>430</v>
      </c>
      <c r="H106" s="420" t="s">
        <v>352</v>
      </c>
      <c r="I106" s="420" t="s">
        <v>431</v>
      </c>
      <c r="K106" s="421">
        <f t="shared" si="9"/>
        <v>1624.5609294988997</v>
      </c>
      <c r="M106" s="421">
        <v>1600</v>
      </c>
      <c r="P106" s="420">
        <v>1624.5609294988997</v>
      </c>
    </row>
    <row r="107" spans="1:16" x14ac:dyDescent="0.3">
      <c r="A107" s="420">
        <v>6</v>
      </c>
      <c r="C107" s="420">
        <f t="shared" si="5"/>
        <v>44</v>
      </c>
      <c r="D107" s="420">
        <f t="shared" si="6"/>
        <v>44</v>
      </c>
      <c r="E107" s="420">
        <f t="shared" si="7"/>
        <v>13</v>
      </c>
      <c r="F107" s="420" t="str">
        <f t="shared" si="8"/>
        <v>pm</v>
      </c>
      <c r="G107" s="420" t="s">
        <v>432</v>
      </c>
      <c r="H107" s="420" t="s">
        <v>288</v>
      </c>
      <c r="I107" s="420" t="s">
        <v>433</v>
      </c>
      <c r="K107" s="421">
        <f t="shared" si="9"/>
        <v>1573.3453296849921</v>
      </c>
      <c r="M107" s="421">
        <v>1600</v>
      </c>
      <c r="P107" s="420">
        <v>1573.3453296849921</v>
      </c>
    </row>
    <row r="108" spans="1:16" x14ac:dyDescent="0.3">
      <c r="A108" s="420">
        <v>6</v>
      </c>
      <c r="C108" s="420">
        <f t="shared" si="5"/>
        <v>45</v>
      </c>
      <c r="D108" s="420">
        <f t="shared" si="6"/>
        <v>45</v>
      </c>
      <c r="E108" s="420">
        <f t="shared" si="7"/>
        <v>13</v>
      </c>
      <c r="F108" s="420" t="str">
        <f t="shared" si="8"/>
        <v>pm</v>
      </c>
      <c r="G108" s="420" t="s">
        <v>434</v>
      </c>
      <c r="H108" s="420" t="s">
        <v>288</v>
      </c>
      <c r="I108" s="420" t="s">
        <v>435</v>
      </c>
      <c r="K108" s="421">
        <f t="shared" si="9"/>
        <v>1517.3416472478507</v>
      </c>
      <c r="M108" s="421">
        <v>1600</v>
      </c>
      <c r="P108" s="420">
        <v>1517.3416472478507</v>
      </c>
    </row>
    <row r="109" spans="1:16" x14ac:dyDescent="0.3">
      <c r="A109" s="420">
        <v>5</v>
      </c>
      <c r="C109" s="420">
        <f t="shared" si="5"/>
        <v>46</v>
      </c>
      <c r="D109" s="420">
        <f t="shared" si="6"/>
        <v>46</v>
      </c>
      <c r="E109" s="420">
        <f t="shared" si="7"/>
        <v>13</v>
      </c>
      <c r="F109" s="420" t="str">
        <f t="shared" si="8"/>
        <v>pm</v>
      </c>
      <c r="G109" s="420" t="s">
        <v>436</v>
      </c>
      <c r="H109" s="420" t="s">
        <v>437</v>
      </c>
      <c r="I109" s="420" t="s">
        <v>438</v>
      </c>
      <c r="K109" s="421">
        <f t="shared" si="9"/>
        <v>1519.0582184667064</v>
      </c>
      <c r="M109" s="421">
        <v>1600</v>
      </c>
      <c r="P109" s="420">
        <v>1519.0582184667064</v>
      </c>
    </row>
    <row r="110" spans="1:16" x14ac:dyDescent="0.3">
      <c r="A110" s="420">
        <v>3</v>
      </c>
      <c r="C110" s="420">
        <f t="shared" si="5"/>
        <v>47</v>
      </c>
      <c r="D110" s="420">
        <f t="shared" si="6"/>
        <v>47</v>
      </c>
      <c r="E110" s="420">
        <f t="shared" si="7"/>
        <v>13</v>
      </c>
      <c r="F110" s="420" t="str">
        <f t="shared" si="8"/>
        <v>cr</v>
      </c>
      <c r="G110" s="420" t="s">
        <v>439</v>
      </c>
      <c r="H110" s="420" t="s">
        <v>203</v>
      </c>
      <c r="I110" s="420" t="s">
        <v>440</v>
      </c>
      <c r="K110" s="421">
        <f t="shared" si="9"/>
        <v>1661.5665624514031</v>
      </c>
      <c r="M110" s="421">
        <v>1600</v>
      </c>
      <c r="P110" s="420">
        <v>1661.5665624514031</v>
      </c>
    </row>
    <row r="111" spans="1:16" x14ac:dyDescent="0.3">
      <c r="A111" s="420">
        <v>3</v>
      </c>
      <c r="C111" s="420">
        <f t="shared" si="5"/>
        <v>48</v>
      </c>
      <c r="D111" s="420">
        <f t="shared" si="6"/>
        <v>48</v>
      </c>
      <c r="E111" s="420">
        <f t="shared" si="7"/>
        <v>13</v>
      </c>
      <c r="F111" s="420" t="str">
        <f t="shared" si="8"/>
        <v>cr</v>
      </c>
      <c r="G111" s="420" t="s">
        <v>441</v>
      </c>
      <c r="H111" s="420" t="s">
        <v>203</v>
      </c>
      <c r="I111" s="420" t="s">
        <v>442</v>
      </c>
      <c r="K111" s="421">
        <f t="shared" si="9"/>
        <v>1559.6889762457713</v>
      </c>
      <c r="M111" s="421">
        <v>1600</v>
      </c>
      <c r="P111" s="420">
        <v>1559.6889762457713</v>
      </c>
    </row>
    <row r="112" spans="1:16" x14ac:dyDescent="0.3">
      <c r="A112" s="420">
        <v>3</v>
      </c>
      <c r="C112" s="420">
        <f t="shared" si="5"/>
        <v>49</v>
      </c>
      <c r="D112" s="420">
        <f t="shared" si="6"/>
        <v>49</v>
      </c>
      <c r="E112" s="420">
        <f t="shared" si="7"/>
        <v>13</v>
      </c>
      <c r="F112" s="420" t="str">
        <f t="shared" si="8"/>
        <v>cr</v>
      </c>
      <c r="G112" s="420" t="s">
        <v>443</v>
      </c>
      <c r="H112" s="420" t="s">
        <v>203</v>
      </c>
      <c r="I112" s="420" t="s">
        <v>444</v>
      </c>
      <c r="K112" s="421">
        <f t="shared" si="9"/>
        <v>1511.3897934488341</v>
      </c>
      <c r="M112" s="421">
        <v>1600</v>
      </c>
      <c r="P112" s="420">
        <v>1511.3897934488341</v>
      </c>
    </row>
    <row r="113" spans="1:16" x14ac:dyDescent="0.3">
      <c r="A113" s="420">
        <v>1</v>
      </c>
      <c r="C113" s="420">
        <f t="shared" si="5"/>
        <v>50</v>
      </c>
      <c r="D113" s="420">
        <f t="shared" si="6"/>
        <v>50</v>
      </c>
      <c r="E113" s="420">
        <f t="shared" si="7"/>
        <v>13</v>
      </c>
      <c r="F113" s="420" t="str">
        <f t="shared" si="8"/>
        <v>crx</v>
      </c>
      <c r="G113" s="420" t="s">
        <v>445</v>
      </c>
      <c r="H113" s="420" t="s">
        <v>302</v>
      </c>
      <c r="I113" s="420" t="s">
        <v>446</v>
      </c>
      <c r="K113" s="421">
        <f t="shared" si="9"/>
        <v>1660.2940034477117</v>
      </c>
      <c r="M113" s="421">
        <v>1600</v>
      </c>
      <c r="P113" s="420">
        <v>1660.2940034477117</v>
      </c>
    </row>
    <row r="114" spans="1:16" x14ac:dyDescent="0.3">
      <c r="A114" s="420">
        <v>3</v>
      </c>
      <c r="C114" s="420">
        <f t="shared" si="5"/>
        <v>51</v>
      </c>
      <c r="D114" s="420">
        <f t="shared" si="6"/>
        <v>51</v>
      </c>
      <c r="E114" s="420">
        <f t="shared" si="7"/>
        <v>13</v>
      </c>
      <c r="F114" s="420" t="str">
        <f t="shared" si="8"/>
        <v>cr</v>
      </c>
      <c r="G114" s="420" t="s">
        <v>447</v>
      </c>
      <c r="H114" s="420" t="s">
        <v>448</v>
      </c>
      <c r="I114" s="420" t="s">
        <v>449</v>
      </c>
      <c r="K114" s="421">
        <f t="shared" si="9"/>
        <v>1600</v>
      </c>
      <c r="M114" s="421">
        <v>1600</v>
      </c>
    </row>
    <row r="115" spans="1:16" x14ac:dyDescent="0.3">
      <c r="A115" s="420">
        <v>1</v>
      </c>
      <c r="C115" s="420">
        <f t="shared" si="5"/>
        <v>52</v>
      </c>
      <c r="D115" s="420">
        <f t="shared" si="6"/>
        <v>51</v>
      </c>
      <c r="E115" s="420">
        <f t="shared" si="7"/>
        <v>13</v>
      </c>
      <c r="F115" s="420" t="str">
        <f t="shared" si="8"/>
        <v>sox</v>
      </c>
      <c r="G115" s="420" t="s">
        <v>450</v>
      </c>
      <c r="H115" s="420" t="s">
        <v>375</v>
      </c>
      <c r="I115" s="420" t="s">
        <v>451</v>
      </c>
      <c r="K115" s="421">
        <f t="shared" si="9"/>
        <v>1600</v>
      </c>
      <c r="M115" s="421">
        <v>1600</v>
      </c>
    </row>
    <row r="116" spans="1:16" x14ac:dyDescent="0.3">
      <c r="A116" s="420">
        <v>1</v>
      </c>
      <c r="C116" s="420">
        <f t="shared" si="5"/>
        <v>53</v>
      </c>
      <c r="D116" s="420">
        <f t="shared" si="6"/>
        <v>51</v>
      </c>
      <c r="E116" s="420">
        <f t="shared" si="7"/>
        <v>13</v>
      </c>
      <c r="F116" s="420" t="str">
        <f t="shared" si="8"/>
        <v>sox</v>
      </c>
      <c r="G116" s="420" t="s">
        <v>452</v>
      </c>
      <c r="H116" s="420" t="s">
        <v>453</v>
      </c>
      <c r="I116" s="420" t="s">
        <v>454</v>
      </c>
      <c r="K116" s="421">
        <f t="shared" si="9"/>
        <v>1600</v>
      </c>
      <c r="M116" s="421">
        <v>1600</v>
      </c>
    </row>
    <row r="117" spans="1:16" x14ac:dyDescent="0.3">
      <c r="A117" s="420">
        <v>4</v>
      </c>
      <c r="C117" s="420">
        <f t="shared" si="5"/>
        <v>1</v>
      </c>
      <c r="D117" s="420">
        <f t="shared" si="6"/>
        <v>1</v>
      </c>
      <c r="E117" s="420">
        <f t="shared" si="7"/>
        <v>14</v>
      </c>
      <c r="F117" s="420" t="str">
        <f t="shared" si="8"/>
        <v>pm</v>
      </c>
      <c r="G117" s="420" t="s">
        <v>455</v>
      </c>
      <c r="H117" s="420" t="s">
        <v>243</v>
      </c>
      <c r="I117" s="420" t="s">
        <v>456</v>
      </c>
      <c r="K117" s="421">
        <f t="shared" si="9"/>
        <v>2151.3312763980157</v>
      </c>
      <c r="M117" s="421">
        <v>2200</v>
      </c>
      <c r="P117" s="420">
        <v>2151.3312763980157</v>
      </c>
    </row>
    <row r="118" spans="1:16" x14ac:dyDescent="0.3">
      <c r="A118" s="420">
        <v>4</v>
      </c>
      <c r="C118" s="420">
        <f t="shared" si="5"/>
        <v>2</v>
      </c>
      <c r="D118" s="420">
        <f t="shared" si="6"/>
        <v>2</v>
      </c>
      <c r="E118" s="420">
        <f t="shared" si="7"/>
        <v>14</v>
      </c>
      <c r="F118" s="420" t="str">
        <f t="shared" si="8"/>
        <v>pm</v>
      </c>
      <c r="G118" s="420" t="s">
        <v>457</v>
      </c>
      <c r="H118" s="420" t="s">
        <v>243</v>
      </c>
      <c r="I118" s="420" t="s">
        <v>458</v>
      </c>
      <c r="K118" s="421">
        <f t="shared" si="9"/>
        <v>2156.4076860800524</v>
      </c>
      <c r="M118" s="421">
        <v>2200</v>
      </c>
      <c r="P118" s="420">
        <v>2156.4076860800524</v>
      </c>
    </row>
    <row r="119" spans="1:16" x14ac:dyDescent="0.3">
      <c r="A119" s="420">
        <v>1</v>
      </c>
      <c r="C119" s="420">
        <f t="shared" si="5"/>
        <v>3</v>
      </c>
      <c r="D119" s="420">
        <f t="shared" si="6"/>
        <v>3</v>
      </c>
      <c r="E119" s="420">
        <f t="shared" si="7"/>
        <v>14</v>
      </c>
      <c r="F119" s="420" t="str">
        <f t="shared" si="8"/>
        <v>pmx</v>
      </c>
      <c r="G119" s="420" t="s">
        <v>459</v>
      </c>
      <c r="H119" s="420" t="s">
        <v>256</v>
      </c>
      <c r="I119" s="420" t="s">
        <v>460</v>
      </c>
      <c r="K119" s="421">
        <f t="shared" si="9"/>
        <v>2268.5029408042979</v>
      </c>
      <c r="M119" s="421">
        <v>2200</v>
      </c>
      <c r="P119" s="420">
        <v>2268.5029408042979</v>
      </c>
    </row>
    <row r="120" spans="1:16" x14ac:dyDescent="0.3">
      <c r="A120" s="420">
        <v>3</v>
      </c>
      <c r="C120" s="420">
        <f t="shared" si="5"/>
        <v>4</v>
      </c>
      <c r="D120" s="420">
        <f t="shared" si="6"/>
        <v>4</v>
      </c>
      <c r="E120" s="420">
        <f t="shared" si="7"/>
        <v>14</v>
      </c>
      <c r="F120" s="420" t="str">
        <f t="shared" si="8"/>
        <v>pm</v>
      </c>
      <c r="G120" s="420" t="s">
        <v>461</v>
      </c>
      <c r="H120" s="420" t="s">
        <v>256</v>
      </c>
      <c r="I120" s="420" t="s">
        <v>462</v>
      </c>
      <c r="K120" s="421">
        <f t="shared" si="9"/>
        <v>2203.730133714088</v>
      </c>
      <c r="M120" s="421">
        <v>2200</v>
      </c>
      <c r="O120" s="420">
        <v>2186.0000721639085</v>
      </c>
      <c r="P120" s="420">
        <v>2203.730133714088</v>
      </c>
    </row>
    <row r="121" spans="1:16" x14ac:dyDescent="0.3">
      <c r="A121" s="420">
        <v>5</v>
      </c>
      <c r="C121" s="420">
        <f t="shared" si="5"/>
        <v>5</v>
      </c>
      <c r="D121" s="420">
        <f t="shared" si="6"/>
        <v>5</v>
      </c>
      <c r="E121" s="420">
        <f t="shared" si="7"/>
        <v>14</v>
      </c>
      <c r="F121" s="420" t="str">
        <f t="shared" si="8"/>
        <v>pm</v>
      </c>
      <c r="G121" s="420" t="s">
        <v>463</v>
      </c>
      <c r="H121" s="420" t="s">
        <v>224</v>
      </c>
      <c r="I121" s="420" t="s">
        <v>464</v>
      </c>
      <c r="K121" s="421">
        <f t="shared" si="9"/>
        <v>2053.0946682245371</v>
      </c>
      <c r="M121" s="421">
        <v>2200</v>
      </c>
      <c r="O121" s="420">
        <v>2053.0946682245371</v>
      </c>
    </row>
    <row r="122" spans="1:16" x14ac:dyDescent="0.3">
      <c r="A122" s="420">
        <v>6</v>
      </c>
      <c r="C122" s="420">
        <f t="shared" si="5"/>
        <v>6</v>
      </c>
      <c r="D122" s="420">
        <f t="shared" si="6"/>
        <v>6</v>
      </c>
      <c r="E122" s="420">
        <f t="shared" si="7"/>
        <v>14</v>
      </c>
      <c r="F122" s="420" t="str">
        <f t="shared" si="8"/>
        <v>pm</v>
      </c>
      <c r="G122" s="420" t="s">
        <v>465</v>
      </c>
      <c r="H122" s="420" t="s">
        <v>466</v>
      </c>
      <c r="I122" s="420" t="s">
        <v>467</v>
      </c>
      <c r="K122" s="421">
        <f t="shared" si="9"/>
        <v>2241.891408622294</v>
      </c>
      <c r="M122" s="421">
        <v>2200</v>
      </c>
      <c r="O122" s="420">
        <v>2269.3527841117907</v>
      </c>
      <c r="P122" s="420">
        <v>2241.891408622294</v>
      </c>
    </row>
    <row r="123" spans="1:16" x14ac:dyDescent="0.3">
      <c r="A123" s="420">
        <v>2</v>
      </c>
      <c r="C123" s="420">
        <f t="shared" si="5"/>
        <v>7</v>
      </c>
      <c r="D123" s="420">
        <f t="shared" si="6"/>
        <v>7</v>
      </c>
      <c r="E123" s="420">
        <f t="shared" si="7"/>
        <v>14</v>
      </c>
      <c r="F123" s="420" t="str">
        <f t="shared" si="8"/>
        <v>pm</v>
      </c>
      <c r="G123" s="420" t="s">
        <v>468</v>
      </c>
      <c r="H123" s="420" t="s">
        <v>349</v>
      </c>
      <c r="I123" s="420" t="s">
        <v>469</v>
      </c>
      <c r="K123" s="421">
        <f t="shared" si="9"/>
        <v>2200</v>
      </c>
      <c r="M123" s="421">
        <v>2200</v>
      </c>
    </row>
    <row r="124" spans="1:16" x14ac:dyDescent="0.3">
      <c r="A124" s="420">
        <v>2</v>
      </c>
      <c r="C124" s="420">
        <f t="shared" si="5"/>
        <v>8</v>
      </c>
      <c r="D124" s="420">
        <f t="shared" si="6"/>
        <v>7</v>
      </c>
      <c r="E124" s="420">
        <f t="shared" si="7"/>
        <v>14</v>
      </c>
      <c r="F124" s="420" t="str">
        <f t="shared" si="8"/>
        <v>pm</v>
      </c>
      <c r="G124" s="420" t="s">
        <v>470</v>
      </c>
      <c r="H124" s="420" t="s">
        <v>352</v>
      </c>
      <c r="I124" s="420" t="s">
        <v>471</v>
      </c>
      <c r="K124" s="421">
        <f t="shared" si="9"/>
        <v>2200</v>
      </c>
      <c r="M124" s="421">
        <v>2200</v>
      </c>
    </row>
    <row r="125" spans="1:16" x14ac:dyDescent="0.3">
      <c r="A125" s="420">
        <v>1</v>
      </c>
      <c r="C125" s="420">
        <f t="shared" si="5"/>
        <v>9</v>
      </c>
      <c r="D125" s="420">
        <f t="shared" si="6"/>
        <v>9</v>
      </c>
      <c r="E125" s="420">
        <f t="shared" si="7"/>
        <v>14</v>
      </c>
      <c r="F125" s="420" t="str">
        <f t="shared" si="8"/>
        <v>pmx</v>
      </c>
      <c r="G125" s="420" t="s">
        <v>472</v>
      </c>
      <c r="H125" s="420" t="s">
        <v>192</v>
      </c>
      <c r="I125" s="420" t="s">
        <v>473</v>
      </c>
      <c r="K125" s="421">
        <f t="shared" si="9"/>
        <v>2364.2115246034632</v>
      </c>
      <c r="M125" s="421">
        <v>2200</v>
      </c>
      <c r="P125" s="420">
        <v>2364.2115246034632</v>
      </c>
    </row>
    <row r="126" spans="1:16" x14ac:dyDescent="0.3">
      <c r="A126" s="420">
        <v>1</v>
      </c>
      <c r="C126" s="420">
        <f t="shared" si="5"/>
        <v>10</v>
      </c>
      <c r="D126" s="420">
        <f t="shared" si="6"/>
        <v>10</v>
      </c>
      <c r="E126" s="420">
        <f t="shared" si="7"/>
        <v>14</v>
      </c>
      <c r="F126" s="420" t="str">
        <f t="shared" si="8"/>
        <v>pmx</v>
      </c>
      <c r="G126" s="420" t="s">
        <v>474</v>
      </c>
      <c r="H126" s="420" t="s">
        <v>192</v>
      </c>
      <c r="I126" s="420" t="s">
        <v>475</v>
      </c>
      <c r="K126" s="421">
        <f t="shared" si="9"/>
        <v>2226.2504011223741</v>
      </c>
      <c r="M126" s="421">
        <v>2200</v>
      </c>
      <c r="P126" s="420">
        <v>2226.2504011223741</v>
      </c>
    </row>
    <row r="127" spans="1:16" x14ac:dyDescent="0.3">
      <c r="A127" s="420">
        <v>4</v>
      </c>
      <c r="C127" s="420">
        <f t="shared" si="5"/>
        <v>11</v>
      </c>
      <c r="D127" s="420">
        <f t="shared" si="6"/>
        <v>11</v>
      </c>
      <c r="E127" s="420">
        <f t="shared" si="7"/>
        <v>14</v>
      </c>
      <c r="F127" s="420" t="str">
        <f t="shared" si="8"/>
        <v>pm</v>
      </c>
      <c r="G127" s="420" t="s">
        <v>476</v>
      </c>
      <c r="H127" s="420" t="s">
        <v>215</v>
      </c>
      <c r="I127" s="420" t="s">
        <v>477</v>
      </c>
      <c r="K127" s="421">
        <f t="shared" si="9"/>
        <v>2252.1735845054504</v>
      </c>
      <c r="M127" s="421">
        <v>2200</v>
      </c>
      <c r="P127" s="420">
        <v>2252.1735845054504</v>
      </c>
    </row>
    <row r="128" spans="1:16" x14ac:dyDescent="0.3">
      <c r="A128" s="420">
        <v>4</v>
      </c>
      <c r="C128" s="420">
        <f t="shared" si="5"/>
        <v>12</v>
      </c>
      <c r="D128" s="420">
        <f t="shared" si="6"/>
        <v>12</v>
      </c>
      <c r="E128" s="420">
        <f t="shared" si="7"/>
        <v>14</v>
      </c>
      <c r="F128" s="420" t="str">
        <f t="shared" si="8"/>
        <v>pm</v>
      </c>
      <c r="G128" s="420" t="s">
        <v>478</v>
      </c>
      <c r="H128" s="420" t="s">
        <v>215</v>
      </c>
      <c r="I128" s="420" t="s">
        <v>479</v>
      </c>
      <c r="K128" s="421">
        <f t="shared" si="9"/>
        <v>2244.6644171731336</v>
      </c>
      <c r="M128" s="421">
        <v>2200</v>
      </c>
      <c r="P128" s="420">
        <v>2244.6644171731336</v>
      </c>
    </row>
    <row r="129" spans="1:16" x14ac:dyDescent="0.3">
      <c r="A129" s="420">
        <v>4</v>
      </c>
      <c r="C129" s="420">
        <f t="shared" si="5"/>
        <v>13</v>
      </c>
      <c r="D129" s="420">
        <f t="shared" si="6"/>
        <v>13</v>
      </c>
      <c r="E129" s="420">
        <f t="shared" si="7"/>
        <v>14</v>
      </c>
      <c r="F129" s="420" t="str">
        <f t="shared" si="8"/>
        <v>pm</v>
      </c>
      <c r="G129" s="420" t="s">
        <v>480</v>
      </c>
      <c r="H129" s="420" t="s">
        <v>215</v>
      </c>
      <c r="I129" s="420" t="s">
        <v>481</v>
      </c>
      <c r="K129" s="421">
        <f t="shared" si="9"/>
        <v>2134.2419780029754</v>
      </c>
      <c r="M129" s="421">
        <v>2200</v>
      </c>
      <c r="P129" s="420">
        <v>2134.2419780029754</v>
      </c>
    </row>
    <row r="130" spans="1:16" x14ac:dyDescent="0.3">
      <c r="A130" s="420">
        <v>3</v>
      </c>
      <c r="C130" s="420">
        <f t="shared" ref="C130:C193" si="10">IF(E130=E129,C129+1,1)</f>
        <v>14</v>
      </c>
      <c r="D130" s="420">
        <f t="shared" ref="D130:D193" si="11">IF(K130=K129,D129,C130)</f>
        <v>14</v>
      </c>
      <c r="E130" s="420">
        <f t="shared" ref="E130:E193" si="12">10+VALUE(RIGHT(LEFT(G130,3),1))</f>
        <v>14</v>
      </c>
      <c r="F130" s="420" t="str">
        <f t="shared" ref="F130:F193" si="13">RIGHT(G130,2) &amp; IF(A130&lt;2,"x","")</f>
        <v>pm</v>
      </c>
      <c r="G130" s="420" t="s">
        <v>482</v>
      </c>
      <c r="H130" s="420" t="s">
        <v>283</v>
      </c>
      <c r="I130" s="420" t="s">
        <v>483</v>
      </c>
      <c r="K130" s="421">
        <f t="shared" ref="K130:K193" si="14">LOOKUP(1E+100,M130:AB130)</f>
        <v>2200</v>
      </c>
      <c r="M130" s="421">
        <v>2200</v>
      </c>
    </row>
    <row r="131" spans="1:16" x14ac:dyDescent="0.3">
      <c r="A131" s="420">
        <v>5</v>
      </c>
      <c r="C131" s="420">
        <f t="shared" si="10"/>
        <v>15</v>
      </c>
      <c r="D131" s="420">
        <f t="shared" si="11"/>
        <v>14</v>
      </c>
      <c r="E131" s="420">
        <f t="shared" si="12"/>
        <v>14</v>
      </c>
      <c r="F131" s="420" t="str">
        <f t="shared" si="13"/>
        <v>pm</v>
      </c>
      <c r="G131" s="420" t="s">
        <v>484</v>
      </c>
      <c r="H131" s="420" t="s">
        <v>288</v>
      </c>
      <c r="I131" s="420" t="s">
        <v>485</v>
      </c>
      <c r="K131" s="421">
        <f t="shared" si="14"/>
        <v>2200</v>
      </c>
      <c r="M131" s="421">
        <v>2200</v>
      </c>
    </row>
    <row r="132" spans="1:16" x14ac:dyDescent="0.3">
      <c r="A132" s="420">
        <v>5</v>
      </c>
      <c r="C132" s="420">
        <f t="shared" si="10"/>
        <v>16</v>
      </c>
      <c r="D132" s="420">
        <f t="shared" si="11"/>
        <v>14</v>
      </c>
      <c r="E132" s="420">
        <f t="shared" si="12"/>
        <v>14</v>
      </c>
      <c r="F132" s="420" t="str">
        <f t="shared" si="13"/>
        <v>pm</v>
      </c>
      <c r="G132" s="420" t="s">
        <v>486</v>
      </c>
      <c r="H132" s="420" t="s">
        <v>288</v>
      </c>
      <c r="I132" s="420" t="s">
        <v>487</v>
      </c>
      <c r="K132" s="421">
        <f t="shared" si="14"/>
        <v>2200</v>
      </c>
      <c r="M132" s="421">
        <v>2200</v>
      </c>
    </row>
    <row r="133" spans="1:16" x14ac:dyDescent="0.3">
      <c r="A133" s="420">
        <v>2</v>
      </c>
      <c r="C133" s="420">
        <f t="shared" si="10"/>
        <v>17</v>
      </c>
      <c r="D133" s="420">
        <f t="shared" si="11"/>
        <v>14</v>
      </c>
      <c r="E133" s="420">
        <f t="shared" si="12"/>
        <v>14</v>
      </c>
      <c r="F133" s="420" t="str">
        <f t="shared" si="13"/>
        <v>pm</v>
      </c>
      <c r="G133" s="420" t="s">
        <v>488</v>
      </c>
      <c r="H133" s="420" t="s">
        <v>288</v>
      </c>
      <c r="I133" s="420" t="s">
        <v>489</v>
      </c>
      <c r="K133" s="421">
        <f t="shared" si="14"/>
        <v>2200</v>
      </c>
      <c r="M133" s="421">
        <v>2200</v>
      </c>
    </row>
    <row r="134" spans="1:16" x14ac:dyDescent="0.3">
      <c r="A134" s="420">
        <v>2</v>
      </c>
      <c r="C134" s="420">
        <f t="shared" si="10"/>
        <v>18</v>
      </c>
      <c r="D134" s="420">
        <f t="shared" si="11"/>
        <v>18</v>
      </c>
      <c r="E134" s="420">
        <f t="shared" si="12"/>
        <v>14</v>
      </c>
      <c r="F134" s="420" t="str">
        <f t="shared" si="13"/>
        <v>pm</v>
      </c>
      <c r="G134" s="420" t="s">
        <v>490</v>
      </c>
      <c r="H134" s="420" t="s">
        <v>491</v>
      </c>
      <c r="I134" s="420" t="s">
        <v>492</v>
      </c>
      <c r="K134" s="421">
        <f t="shared" si="14"/>
        <v>2073.5421959918044</v>
      </c>
      <c r="M134" s="421">
        <v>2200</v>
      </c>
      <c r="P134" s="420">
        <v>2073.5421959918044</v>
      </c>
    </row>
    <row r="135" spans="1:16" x14ac:dyDescent="0.3">
      <c r="A135" s="420">
        <v>2</v>
      </c>
      <c r="C135" s="420">
        <f t="shared" si="10"/>
        <v>19</v>
      </c>
      <c r="D135" s="420">
        <f t="shared" si="11"/>
        <v>19</v>
      </c>
      <c r="E135" s="420">
        <f t="shared" si="12"/>
        <v>14</v>
      </c>
      <c r="F135" s="420" t="str">
        <f t="shared" si="13"/>
        <v>pm</v>
      </c>
      <c r="G135" s="420" t="s">
        <v>493</v>
      </c>
      <c r="H135" s="420" t="s">
        <v>227</v>
      </c>
      <c r="I135" s="420" t="s">
        <v>494</v>
      </c>
      <c r="K135" s="421">
        <f t="shared" si="14"/>
        <v>2200</v>
      </c>
      <c r="M135" s="421">
        <v>2200</v>
      </c>
    </row>
    <row r="136" spans="1:16" x14ac:dyDescent="0.3">
      <c r="A136" s="420">
        <v>3</v>
      </c>
      <c r="C136" s="420">
        <f t="shared" si="10"/>
        <v>20</v>
      </c>
      <c r="D136" s="420">
        <f t="shared" si="11"/>
        <v>19</v>
      </c>
      <c r="E136" s="420">
        <f t="shared" si="12"/>
        <v>14</v>
      </c>
      <c r="F136" s="420" t="str">
        <f t="shared" si="13"/>
        <v>pm</v>
      </c>
      <c r="G136" s="420" t="s">
        <v>495</v>
      </c>
      <c r="H136" s="420" t="s">
        <v>221</v>
      </c>
      <c r="I136" s="420" t="s">
        <v>496</v>
      </c>
      <c r="K136" s="421">
        <f t="shared" si="14"/>
        <v>2200</v>
      </c>
      <c r="M136" s="421">
        <v>2200</v>
      </c>
    </row>
    <row r="137" spans="1:16" x14ac:dyDescent="0.3">
      <c r="A137" s="420">
        <v>1</v>
      </c>
      <c r="C137" s="420">
        <f t="shared" si="10"/>
        <v>21</v>
      </c>
      <c r="D137" s="420">
        <f t="shared" si="11"/>
        <v>19</v>
      </c>
      <c r="E137" s="420">
        <f t="shared" si="12"/>
        <v>14</v>
      </c>
      <c r="F137" s="420" t="str">
        <f t="shared" si="13"/>
        <v>crx</v>
      </c>
      <c r="G137" s="420" t="s">
        <v>497</v>
      </c>
      <c r="H137" s="420" t="s">
        <v>369</v>
      </c>
      <c r="I137" s="420" t="s">
        <v>498</v>
      </c>
      <c r="K137" s="421">
        <f t="shared" si="14"/>
        <v>2200</v>
      </c>
      <c r="M137" s="421">
        <v>2200</v>
      </c>
    </row>
    <row r="138" spans="1:16" x14ac:dyDescent="0.3">
      <c r="A138" s="420">
        <v>1</v>
      </c>
      <c r="C138" s="420">
        <f t="shared" si="10"/>
        <v>22</v>
      </c>
      <c r="D138" s="420">
        <f t="shared" si="11"/>
        <v>19</v>
      </c>
      <c r="E138" s="420">
        <f t="shared" si="12"/>
        <v>14</v>
      </c>
      <c r="F138" s="420" t="str">
        <f t="shared" si="13"/>
        <v>crx</v>
      </c>
      <c r="G138" s="420" t="s">
        <v>499</v>
      </c>
      <c r="H138" s="420" t="s">
        <v>372</v>
      </c>
      <c r="I138" s="420" t="s">
        <v>500</v>
      </c>
      <c r="K138" s="421">
        <f t="shared" si="14"/>
        <v>2200</v>
      </c>
      <c r="M138" s="421">
        <v>2200</v>
      </c>
    </row>
    <row r="139" spans="1:16" x14ac:dyDescent="0.3">
      <c r="A139" s="420">
        <v>1</v>
      </c>
      <c r="C139" s="420">
        <f t="shared" si="10"/>
        <v>23</v>
      </c>
      <c r="D139" s="420">
        <f t="shared" si="11"/>
        <v>19</v>
      </c>
      <c r="E139" s="420">
        <f t="shared" si="12"/>
        <v>14</v>
      </c>
      <c r="F139" s="420" t="str">
        <f t="shared" si="13"/>
        <v>crx</v>
      </c>
      <c r="G139" s="420" t="s">
        <v>501</v>
      </c>
      <c r="H139" s="420" t="s">
        <v>372</v>
      </c>
      <c r="I139" s="420" t="s">
        <v>502</v>
      </c>
      <c r="K139" s="421">
        <f t="shared" si="14"/>
        <v>2200</v>
      </c>
      <c r="M139" s="421">
        <v>2200</v>
      </c>
    </row>
    <row r="140" spans="1:16" x14ac:dyDescent="0.3">
      <c r="A140" s="420">
        <v>1</v>
      </c>
      <c r="C140" s="420">
        <f t="shared" si="10"/>
        <v>24</v>
      </c>
      <c r="D140" s="420">
        <f t="shared" si="11"/>
        <v>19</v>
      </c>
      <c r="E140" s="420">
        <f t="shared" si="12"/>
        <v>14</v>
      </c>
      <c r="F140" s="420" t="str">
        <f t="shared" si="13"/>
        <v>sox</v>
      </c>
      <c r="G140" s="420" t="s">
        <v>503</v>
      </c>
      <c r="H140" s="420" t="s">
        <v>375</v>
      </c>
      <c r="I140" s="420" t="s">
        <v>504</v>
      </c>
      <c r="K140" s="421">
        <f t="shared" si="14"/>
        <v>2200</v>
      </c>
      <c r="M140" s="421">
        <v>2200</v>
      </c>
    </row>
    <row r="141" spans="1:16" x14ac:dyDescent="0.3">
      <c r="A141" s="420">
        <v>3</v>
      </c>
      <c r="C141" s="420">
        <f t="shared" si="10"/>
        <v>25</v>
      </c>
      <c r="D141" s="420">
        <f t="shared" si="11"/>
        <v>25</v>
      </c>
      <c r="E141" s="420">
        <f t="shared" si="12"/>
        <v>14</v>
      </c>
      <c r="F141" s="420" t="str">
        <f t="shared" si="13"/>
        <v>pm</v>
      </c>
      <c r="G141" s="420" t="s">
        <v>505</v>
      </c>
      <c r="H141" s="420" t="s">
        <v>243</v>
      </c>
      <c r="I141" s="420" t="s">
        <v>506</v>
      </c>
      <c r="K141" s="421">
        <f t="shared" si="14"/>
        <v>2326.5309750174952</v>
      </c>
      <c r="M141" s="421">
        <v>2200</v>
      </c>
      <c r="N141" s="420">
        <v>2326.5309750174952</v>
      </c>
    </row>
    <row r="142" spans="1:16" x14ac:dyDescent="0.3">
      <c r="A142" s="420">
        <v>5</v>
      </c>
      <c r="C142" s="420">
        <f t="shared" si="10"/>
        <v>26</v>
      </c>
      <c r="D142" s="420">
        <f t="shared" si="11"/>
        <v>26</v>
      </c>
      <c r="E142" s="420">
        <f t="shared" si="12"/>
        <v>14</v>
      </c>
      <c r="F142" s="420" t="str">
        <f t="shared" si="13"/>
        <v>pm</v>
      </c>
      <c r="G142" s="420" t="s">
        <v>507</v>
      </c>
      <c r="H142" s="420" t="s">
        <v>261</v>
      </c>
      <c r="I142" s="420" t="s">
        <v>508</v>
      </c>
      <c r="K142" s="421">
        <f t="shared" si="14"/>
        <v>2278.4525646033417</v>
      </c>
      <c r="M142" s="421">
        <v>2200</v>
      </c>
      <c r="P142" s="420">
        <v>2278.4525646033417</v>
      </c>
    </row>
    <row r="143" spans="1:16" x14ac:dyDescent="0.3">
      <c r="A143" s="420">
        <v>1</v>
      </c>
      <c r="C143" s="420">
        <f t="shared" si="10"/>
        <v>27</v>
      </c>
      <c r="D143" s="420">
        <f t="shared" si="11"/>
        <v>27</v>
      </c>
      <c r="E143" s="420">
        <f t="shared" si="12"/>
        <v>14</v>
      </c>
      <c r="F143" s="420" t="str">
        <f t="shared" si="13"/>
        <v>pmx</v>
      </c>
      <c r="G143" s="420" t="s">
        <v>509</v>
      </c>
      <c r="H143" s="420" t="s">
        <v>352</v>
      </c>
      <c r="I143" s="420" t="s">
        <v>510</v>
      </c>
      <c r="K143" s="421">
        <f t="shared" si="14"/>
        <v>2200</v>
      </c>
      <c r="M143" s="421">
        <v>2200</v>
      </c>
    </row>
    <row r="144" spans="1:16" x14ac:dyDescent="0.3">
      <c r="A144" s="420">
        <v>5</v>
      </c>
      <c r="C144" s="420">
        <f t="shared" si="10"/>
        <v>28</v>
      </c>
      <c r="D144" s="420">
        <f t="shared" si="11"/>
        <v>28</v>
      </c>
      <c r="E144" s="420">
        <f t="shared" si="12"/>
        <v>14</v>
      </c>
      <c r="F144" s="420" t="str">
        <f t="shared" si="13"/>
        <v>pm</v>
      </c>
      <c r="G144" s="420" t="s">
        <v>511</v>
      </c>
      <c r="H144" s="420" t="s">
        <v>224</v>
      </c>
      <c r="I144" s="420" t="s">
        <v>512</v>
      </c>
      <c r="K144" s="421">
        <f t="shared" si="14"/>
        <v>2157.0688207251719</v>
      </c>
      <c r="M144" s="421">
        <v>2160</v>
      </c>
      <c r="P144" s="420">
        <v>2157.0688207251719</v>
      </c>
    </row>
    <row r="145" spans="1:16" x14ac:dyDescent="0.3">
      <c r="A145" s="420">
        <v>7</v>
      </c>
      <c r="C145" s="420">
        <f t="shared" si="10"/>
        <v>29</v>
      </c>
      <c r="D145" s="420">
        <f t="shared" si="11"/>
        <v>29</v>
      </c>
      <c r="E145" s="420">
        <f t="shared" si="12"/>
        <v>14</v>
      </c>
      <c r="F145" s="420" t="str">
        <f t="shared" si="13"/>
        <v>pm</v>
      </c>
      <c r="G145" s="420" t="s">
        <v>513</v>
      </c>
      <c r="H145" s="420" t="s">
        <v>224</v>
      </c>
      <c r="I145" s="420" t="s">
        <v>514</v>
      </c>
      <c r="K145" s="421">
        <f t="shared" si="14"/>
        <v>2119.2988049542182</v>
      </c>
      <c r="M145" s="421">
        <v>2142.8571428571427</v>
      </c>
      <c r="O145" s="420">
        <v>2124.8136406435256</v>
      </c>
      <c r="P145" s="420">
        <v>2119.2988049542182</v>
      </c>
    </row>
    <row r="146" spans="1:16" x14ac:dyDescent="0.3">
      <c r="A146" s="420">
        <v>6</v>
      </c>
      <c r="C146" s="420">
        <f t="shared" si="10"/>
        <v>30</v>
      </c>
      <c r="D146" s="420">
        <f t="shared" si="11"/>
        <v>30</v>
      </c>
      <c r="E146" s="420">
        <f t="shared" si="12"/>
        <v>14</v>
      </c>
      <c r="F146" s="420" t="str">
        <f t="shared" si="13"/>
        <v>pm</v>
      </c>
      <c r="G146" s="420" t="s">
        <v>515</v>
      </c>
      <c r="H146" s="420" t="s">
        <v>261</v>
      </c>
      <c r="I146" s="420" t="s">
        <v>516</v>
      </c>
      <c r="K146" s="421">
        <f t="shared" si="14"/>
        <v>2028.2185977183215</v>
      </c>
      <c r="M146" s="421">
        <v>2133.3333333333335</v>
      </c>
      <c r="O146" s="420">
        <v>2123.8030060029546</v>
      </c>
      <c r="P146" s="420">
        <v>2028.2185977183215</v>
      </c>
    </row>
    <row r="147" spans="1:16" x14ac:dyDescent="0.3">
      <c r="A147" s="420">
        <v>3</v>
      </c>
      <c r="C147" s="420">
        <f t="shared" si="10"/>
        <v>31</v>
      </c>
      <c r="D147" s="420">
        <f t="shared" si="11"/>
        <v>31</v>
      </c>
      <c r="E147" s="420">
        <f t="shared" si="12"/>
        <v>14</v>
      </c>
      <c r="F147" s="420" t="str">
        <f t="shared" si="13"/>
        <v>pm</v>
      </c>
      <c r="G147" s="420" t="s">
        <v>517</v>
      </c>
      <c r="H147" s="420" t="s">
        <v>318</v>
      </c>
      <c r="I147" s="420" t="s">
        <v>518</v>
      </c>
      <c r="K147" s="421">
        <f t="shared" si="14"/>
        <v>2197.4041119202066</v>
      </c>
      <c r="M147" s="421">
        <v>2133.3333333333335</v>
      </c>
      <c r="N147" s="420">
        <v>2197.4041119202066</v>
      </c>
    </row>
    <row r="148" spans="1:16" x14ac:dyDescent="0.3">
      <c r="A148" s="420">
        <v>6</v>
      </c>
      <c r="C148" s="420">
        <f t="shared" si="10"/>
        <v>32</v>
      </c>
      <c r="D148" s="420">
        <f t="shared" si="11"/>
        <v>32</v>
      </c>
      <c r="E148" s="420">
        <f t="shared" si="12"/>
        <v>14</v>
      </c>
      <c r="F148" s="420" t="str">
        <f t="shared" si="13"/>
        <v>pm</v>
      </c>
      <c r="G148" s="420" t="s">
        <v>519</v>
      </c>
      <c r="H148" s="420" t="s">
        <v>224</v>
      </c>
      <c r="I148" s="420" t="s">
        <v>520</v>
      </c>
      <c r="K148" s="421">
        <f t="shared" si="14"/>
        <v>2086.4490895334916</v>
      </c>
      <c r="M148" s="421">
        <v>2133.3333333333335</v>
      </c>
      <c r="O148" s="420">
        <v>2086.4490895334916</v>
      </c>
    </row>
    <row r="149" spans="1:16" x14ac:dyDescent="0.3">
      <c r="A149" s="420">
        <v>4</v>
      </c>
      <c r="C149" s="420">
        <f t="shared" si="10"/>
        <v>33</v>
      </c>
      <c r="D149" s="420">
        <f t="shared" si="11"/>
        <v>33</v>
      </c>
      <c r="E149" s="420">
        <f t="shared" si="12"/>
        <v>14</v>
      </c>
      <c r="F149" s="420" t="str">
        <f t="shared" si="13"/>
        <v>pm</v>
      </c>
      <c r="G149" s="420" t="s">
        <v>521</v>
      </c>
      <c r="H149" s="420" t="s">
        <v>522</v>
      </c>
      <c r="I149" s="420" t="s">
        <v>523</v>
      </c>
      <c r="K149" s="421">
        <f t="shared" si="14"/>
        <v>2214.8101428000855</v>
      </c>
      <c r="M149" s="421">
        <v>2100</v>
      </c>
      <c r="N149" s="420">
        <v>2174.2197512125058</v>
      </c>
      <c r="P149" s="420">
        <v>2214.8101428000855</v>
      </c>
    </row>
    <row r="150" spans="1:16" x14ac:dyDescent="0.3">
      <c r="A150" s="420">
        <v>2</v>
      </c>
      <c r="C150" s="420">
        <f t="shared" si="10"/>
        <v>34</v>
      </c>
      <c r="D150" s="420">
        <f t="shared" si="11"/>
        <v>34</v>
      </c>
      <c r="E150" s="420">
        <f t="shared" si="12"/>
        <v>14</v>
      </c>
      <c r="F150" s="420" t="str">
        <f t="shared" si="13"/>
        <v>pm</v>
      </c>
      <c r="G150" s="420" t="s">
        <v>524</v>
      </c>
      <c r="H150" s="420" t="s">
        <v>215</v>
      </c>
      <c r="I150" s="420" t="s">
        <v>525</v>
      </c>
      <c r="K150" s="421">
        <f t="shared" si="14"/>
        <v>2049.1781545895406</v>
      </c>
      <c r="M150" s="421">
        <v>2000</v>
      </c>
      <c r="P150" s="420">
        <v>2049.1781545895406</v>
      </c>
    </row>
    <row r="151" spans="1:16" x14ac:dyDescent="0.3">
      <c r="A151" s="420">
        <v>2</v>
      </c>
      <c r="C151" s="420">
        <f t="shared" si="10"/>
        <v>35</v>
      </c>
      <c r="D151" s="420">
        <f t="shared" si="11"/>
        <v>35</v>
      </c>
      <c r="E151" s="420">
        <f t="shared" si="12"/>
        <v>14</v>
      </c>
      <c r="F151" s="420" t="str">
        <f t="shared" si="13"/>
        <v>pm</v>
      </c>
      <c r="G151" s="420" t="s">
        <v>526</v>
      </c>
      <c r="H151" s="420" t="s">
        <v>527</v>
      </c>
      <c r="I151" s="420" t="s">
        <v>528</v>
      </c>
      <c r="K151" s="421">
        <f t="shared" si="14"/>
        <v>1847.1241959091305</v>
      </c>
      <c r="M151" s="421">
        <v>2000</v>
      </c>
      <c r="P151" s="420">
        <v>1847.1241959091305</v>
      </c>
    </row>
    <row r="152" spans="1:16" x14ac:dyDescent="0.3">
      <c r="A152" s="420">
        <v>2</v>
      </c>
      <c r="C152" s="420">
        <f t="shared" si="10"/>
        <v>36</v>
      </c>
      <c r="D152" s="420">
        <f t="shared" si="11"/>
        <v>36</v>
      </c>
      <c r="E152" s="420">
        <f t="shared" si="12"/>
        <v>14</v>
      </c>
      <c r="F152" s="420" t="str">
        <f t="shared" si="13"/>
        <v>pm</v>
      </c>
      <c r="G152" s="420" t="s">
        <v>529</v>
      </c>
      <c r="H152" s="420" t="s">
        <v>227</v>
      </c>
      <c r="I152" s="420" t="s">
        <v>530</v>
      </c>
      <c r="K152" s="421">
        <f t="shared" si="14"/>
        <v>2000</v>
      </c>
      <c r="M152" s="421">
        <v>2000</v>
      </c>
    </row>
    <row r="153" spans="1:16" x14ac:dyDescent="0.3">
      <c r="A153" s="420">
        <v>2</v>
      </c>
      <c r="C153" s="420">
        <f t="shared" si="10"/>
        <v>37</v>
      </c>
      <c r="D153" s="420">
        <f t="shared" si="11"/>
        <v>37</v>
      </c>
      <c r="E153" s="420">
        <f t="shared" si="12"/>
        <v>14</v>
      </c>
      <c r="F153" s="420" t="str">
        <f t="shared" si="13"/>
        <v>cr</v>
      </c>
      <c r="G153" s="420" t="s">
        <v>531</v>
      </c>
      <c r="H153" s="420" t="s">
        <v>203</v>
      </c>
      <c r="I153" s="420" t="s">
        <v>532</v>
      </c>
      <c r="K153" s="421">
        <f t="shared" si="14"/>
        <v>2166.0105488436016</v>
      </c>
      <c r="M153" s="421">
        <v>2000</v>
      </c>
      <c r="O153" s="420">
        <v>2166.0105488436016</v>
      </c>
    </row>
    <row r="154" spans="1:16" x14ac:dyDescent="0.3">
      <c r="A154" s="420">
        <v>4</v>
      </c>
      <c r="C154" s="420">
        <f t="shared" si="10"/>
        <v>38</v>
      </c>
      <c r="D154" s="420">
        <f t="shared" si="11"/>
        <v>38</v>
      </c>
      <c r="E154" s="420">
        <f t="shared" si="12"/>
        <v>14</v>
      </c>
      <c r="F154" s="420" t="str">
        <f t="shared" si="13"/>
        <v>pm</v>
      </c>
      <c r="G154" s="420" t="s">
        <v>533</v>
      </c>
      <c r="H154" s="420" t="s">
        <v>534</v>
      </c>
      <c r="I154" s="420" t="s">
        <v>535</v>
      </c>
      <c r="K154" s="421">
        <f t="shared" si="14"/>
        <v>1885.7182609507843</v>
      </c>
      <c r="M154" s="421">
        <v>1900</v>
      </c>
      <c r="P154" s="420">
        <v>1885.7182609507843</v>
      </c>
    </row>
    <row r="155" spans="1:16" x14ac:dyDescent="0.3">
      <c r="A155" s="420">
        <v>2</v>
      </c>
      <c r="C155" s="420">
        <f t="shared" si="10"/>
        <v>39</v>
      </c>
      <c r="D155" s="420">
        <f t="shared" si="11"/>
        <v>39</v>
      </c>
      <c r="E155" s="420">
        <f t="shared" si="12"/>
        <v>14</v>
      </c>
      <c r="F155" s="420" t="str">
        <f t="shared" si="13"/>
        <v>so</v>
      </c>
      <c r="G155" s="420" t="s">
        <v>536</v>
      </c>
      <c r="H155" s="420" t="s">
        <v>384</v>
      </c>
      <c r="I155" s="420" t="s">
        <v>537</v>
      </c>
      <c r="K155" s="421">
        <f t="shared" si="14"/>
        <v>1971.8826744034932</v>
      </c>
      <c r="M155" s="421">
        <v>1900</v>
      </c>
      <c r="P155" s="420">
        <v>1971.8826744034932</v>
      </c>
    </row>
    <row r="156" spans="1:16" x14ac:dyDescent="0.3">
      <c r="A156" s="420">
        <v>5</v>
      </c>
      <c r="C156" s="420">
        <f t="shared" si="10"/>
        <v>40</v>
      </c>
      <c r="D156" s="420">
        <f t="shared" si="11"/>
        <v>40</v>
      </c>
      <c r="E156" s="420">
        <f t="shared" si="12"/>
        <v>14</v>
      </c>
      <c r="F156" s="420" t="str">
        <f t="shared" si="13"/>
        <v>pm</v>
      </c>
      <c r="G156" s="420" t="s">
        <v>538</v>
      </c>
      <c r="H156" s="420" t="s">
        <v>539</v>
      </c>
      <c r="I156" s="420" t="s">
        <v>540</v>
      </c>
      <c r="K156" s="421">
        <f t="shared" si="14"/>
        <v>1866.0217818946253</v>
      </c>
      <c r="M156" s="421">
        <v>1880</v>
      </c>
      <c r="P156" s="420">
        <v>1866.0217818946253</v>
      </c>
    </row>
    <row r="157" spans="1:16" x14ac:dyDescent="0.3">
      <c r="A157" s="420">
        <v>5</v>
      </c>
      <c r="C157" s="420">
        <f t="shared" si="10"/>
        <v>41</v>
      </c>
      <c r="D157" s="420">
        <f t="shared" si="11"/>
        <v>41</v>
      </c>
      <c r="E157" s="420">
        <f t="shared" si="12"/>
        <v>14</v>
      </c>
      <c r="F157" s="420" t="str">
        <f t="shared" si="13"/>
        <v>pm</v>
      </c>
      <c r="G157" s="420" t="s">
        <v>541</v>
      </c>
      <c r="H157" s="420" t="s">
        <v>305</v>
      </c>
      <c r="I157" s="420" t="s">
        <v>542</v>
      </c>
      <c r="K157" s="421">
        <f t="shared" si="14"/>
        <v>1847.1083510157146</v>
      </c>
      <c r="M157" s="421">
        <v>1880</v>
      </c>
      <c r="N157" s="420">
        <v>1847.1083510157146</v>
      </c>
    </row>
    <row r="158" spans="1:16" x14ac:dyDescent="0.3">
      <c r="A158" s="420">
        <v>3</v>
      </c>
      <c r="C158" s="420">
        <f t="shared" si="10"/>
        <v>42</v>
      </c>
      <c r="D158" s="420">
        <f t="shared" si="11"/>
        <v>42</v>
      </c>
      <c r="E158" s="420">
        <f t="shared" si="12"/>
        <v>14</v>
      </c>
      <c r="F158" s="420" t="str">
        <f t="shared" si="13"/>
        <v>pm</v>
      </c>
      <c r="G158" s="420" t="s">
        <v>543</v>
      </c>
      <c r="H158" s="420" t="s">
        <v>331</v>
      </c>
      <c r="I158" s="420" t="s">
        <v>544</v>
      </c>
      <c r="K158" s="421">
        <f t="shared" si="14"/>
        <v>1925.4284841677352</v>
      </c>
      <c r="M158" s="421">
        <v>1866.6666666666667</v>
      </c>
      <c r="P158" s="420">
        <v>1925.4284841677352</v>
      </c>
    </row>
    <row r="159" spans="1:16" x14ac:dyDescent="0.3">
      <c r="A159" s="420">
        <v>7</v>
      </c>
      <c r="C159" s="420">
        <f t="shared" si="10"/>
        <v>43</v>
      </c>
      <c r="D159" s="420">
        <f t="shared" si="11"/>
        <v>43</v>
      </c>
      <c r="E159" s="420">
        <f t="shared" si="12"/>
        <v>14</v>
      </c>
      <c r="F159" s="420" t="str">
        <f t="shared" si="13"/>
        <v>pm</v>
      </c>
      <c r="G159" s="420" t="s">
        <v>545</v>
      </c>
      <c r="H159" s="420" t="s">
        <v>288</v>
      </c>
      <c r="I159" s="420" t="s">
        <v>546</v>
      </c>
      <c r="K159" s="421">
        <f t="shared" si="14"/>
        <v>1762.9452068718263</v>
      </c>
      <c r="M159" s="421">
        <v>1857.1428571428571</v>
      </c>
      <c r="P159" s="420">
        <v>1762.9452068718263</v>
      </c>
    </row>
    <row r="160" spans="1:16" x14ac:dyDescent="0.3">
      <c r="A160" s="420">
        <v>5</v>
      </c>
      <c r="C160" s="420">
        <f t="shared" si="10"/>
        <v>44</v>
      </c>
      <c r="D160" s="420">
        <f t="shared" si="11"/>
        <v>44</v>
      </c>
      <c r="E160" s="420">
        <f t="shared" si="12"/>
        <v>14</v>
      </c>
      <c r="F160" s="420" t="str">
        <f t="shared" si="13"/>
        <v>pm</v>
      </c>
      <c r="G160" s="420" t="s">
        <v>547</v>
      </c>
      <c r="H160" s="420" t="s">
        <v>437</v>
      </c>
      <c r="I160" s="420" t="s">
        <v>548</v>
      </c>
      <c r="K160" s="421">
        <f t="shared" si="14"/>
        <v>1847.3357292555668</v>
      </c>
      <c r="M160" s="421">
        <v>1840</v>
      </c>
      <c r="P160" s="420">
        <v>1847.3357292555668</v>
      </c>
    </row>
    <row r="161" spans="1:16" x14ac:dyDescent="0.3">
      <c r="A161" s="420">
        <v>1</v>
      </c>
      <c r="C161" s="420">
        <f t="shared" si="10"/>
        <v>45</v>
      </c>
      <c r="D161" s="420">
        <f t="shared" si="11"/>
        <v>45</v>
      </c>
      <c r="E161" s="420">
        <f t="shared" si="12"/>
        <v>14</v>
      </c>
      <c r="F161" s="420" t="str">
        <f t="shared" si="13"/>
        <v>pmx</v>
      </c>
      <c r="G161" s="420" t="s">
        <v>549</v>
      </c>
      <c r="H161" s="420" t="s">
        <v>237</v>
      </c>
      <c r="I161" s="420" t="s">
        <v>550</v>
      </c>
      <c r="K161" s="421">
        <f t="shared" si="14"/>
        <v>1800</v>
      </c>
      <c r="M161" s="421">
        <v>1800</v>
      </c>
    </row>
    <row r="162" spans="1:16" x14ac:dyDescent="0.3">
      <c r="A162" s="420">
        <v>2</v>
      </c>
      <c r="C162" s="420">
        <f t="shared" si="10"/>
        <v>46</v>
      </c>
      <c r="D162" s="420">
        <f t="shared" si="11"/>
        <v>45</v>
      </c>
      <c r="E162" s="420">
        <f t="shared" si="12"/>
        <v>14</v>
      </c>
      <c r="F162" s="420" t="str">
        <f t="shared" si="13"/>
        <v>pm</v>
      </c>
      <c r="G162" s="420" t="s">
        <v>551</v>
      </c>
      <c r="H162" s="420" t="s">
        <v>240</v>
      </c>
      <c r="I162" s="420" t="s">
        <v>552</v>
      </c>
      <c r="K162" s="421">
        <f t="shared" si="14"/>
        <v>1800</v>
      </c>
      <c r="M162" s="421">
        <v>1800</v>
      </c>
    </row>
    <row r="163" spans="1:16" x14ac:dyDescent="0.3">
      <c r="A163" s="420">
        <v>6</v>
      </c>
      <c r="C163" s="420">
        <f t="shared" si="10"/>
        <v>47</v>
      </c>
      <c r="D163" s="420">
        <f t="shared" si="11"/>
        <v>47</v>
      </c>
      <c r="E163" s="420">
        <f t="shared" si="12"/>
        <v>14</v>
      </c>
      <c r="F163" s="420" t="str">
        <f t="shared" si="13"/>
        <v>pm</v>
      </c>
      <c r="G163" s="420" t="s">
        <v>553</v>
      </c>
      <c r="H163" s="420" t="s">
        <v>554</v>
      </c>
      <c r="I163" s="420" t="s">
        <v>555</v>
      </c>
      <c r="K163" s="421">
        <f t="shared" si="14"/>
        <v>1815.1521821289225</v>
      </c>
      <c r="M163" s="421">
        <v>1800</v>
      </c>
      <c r="N163" s="420">
        <v>1718.6611112438743</v>
      </c>
      <c r="P163" s="420">
        <v>1815.1521821289225</v>
      </c>
    </row>
    <row r="164" spans="1:16" x14ac:dyDescent="0.3">
      <c r="A164" s="420">
        <v>3</v>
      </c>
      <c r="C164" s="420">
        <f t="shared" si="10"/>
        <v>48</v>
      </c>
      <c r="D164" s="420">
        <f t="shared" si="11"/>
        <v>48</v>
      </c>
      <c r="E164" s="420">
        <f t="shared" si="12"/>
        <v>14</v>
      </c>
      <c r="F164" s="420" t="str">
        <f t="shared" si="13"/>
        <v>pm</v>
      </c>
      <c r="G164" s="420" t="s">
        <v>556</v>
      </c>
      <c r="H164" s="420" t="s">
        <v>243</v>
      </c>
      <c r="I164" s="420" t="s">
        <v>557</v>
      </c>
      <c r="K164" s="421">
        <f t="shared" si="14"/>
        <v>1833.0084799585911</v>
      </c>
      <c r="M164" s="421">
        <v>1800</v>
      </c>
      <c r="N164" s="420">
        <v>1778.3842920745774</v>
      </c>
      <c r="P164" s="420">
        <v>1833.0084799585911</v>
      </c>
    </row>
    <row r="165" spans="1:16" x14ac:dyDescent="0.3">
      <c r="A165" s="420">
        <v>3</v>
      </c>
      <c r="C165" s="420">
        <f t="shared" si="10"/>
        <v>49</v>
      </c>
      <c r="D165" s="420">
        <f t="shared" si="11"/>
        <v>49</v>
      </c>
      <c r="E165" s="420">
        <f t="shared" si="12"/>
        <v>14</v>
      </c>
      <c r="F165" s="420" t="str">
        <f t="shared" si="13"/>
        <v>pm</v>
      </c>
      <c r="G165" s="420" t="s">
        <v>558</v>
      </c>
      <c r="H165" s="420" t="s">
        <v>243</v>
      </c>
      <c r="I165" s="420" t="s">
        <v>559</v>
      </c>
      <c r="K165" s="421">
        <f t="shared" si="14"/>
        <v>1903.1265717512813</v>
      </c>
      <c r="M165" s="421">
        <v>1800</v>
      </c>
      <c r="N165" s="420">
        <v>1824.4592382938808</v>
      </c>
      <c r="P165" s="420">
        <v>1903.1265717512813</v>
      </c>
    </row>
    <row r="166" spans="1:16" x14ac:dyDescent="0.3">
      <c r="A166" s="420">
        <v>3</v>
      </c>
      <c r="C166" s="420">
        <f t="shared" si="10"/>
        <v>50</v>
      </c>
      <c r="D166" s="420">
        <f t="shared" si="11"/>
        <v>50</v>
      </c>
      <c r="E166" s="420">
        <f t="shared" si="12"/>
        <v>14</v>
      </c>
      <c r="F166" s="420" t="str">
        <f t="shared" si="13"/>
        <v>pm</v>
      </c>
      <c r="G166" s="420" t="s">
        <v>560</v>
      </c>
      <c r="H166" s="420" t="s">
        <v>243</v>
      </c>
      <c r="I166" s="420" t="s">
        <v>561</v>
      </c>
      <c r="K166" s="421">
        <f t="shared" si="14"/>
        <v>1753.2138579630362</v>
      </c>
      <c r="M166" s="421">
        <v>1800</v>
      </c>
      <c r="P166" s="420">
        <v>1753.2138579630362</v>
      </c>
    </row>
    <row r="167" spans="1:16" x14ac:dyDescent="0.3">
      <c r="A167" s="420">
        <v>3</v>
      </c>
      <c r="C167" s="420">
        <f t="shared" si="10"/>
        <v>51</v>
      </c>
      <c r="D167" s="420">
        <f t="shared" si="11"/>
        <v>51</v>
      </c>
      <c r="E167" s="420">
        <f t="shared" si="12"/>
        <v>14</v>
      </c>
      <c r="F167" s="420" t="str">
        <f t="shared" si="13"/>
        <v>pm</v>
      </c>
      <c r="G167" s="420" t="s">
        <v>562</v>
      </c>
      <c r="H167" s="420" t="s">
        <v>250</v>
      </c>
      <c r="I167" s="420" t="s">
        <v>563</v>
      </c>
      <c r="K167" s="421">
        <f t="shared" si="14"/>
        <v>1800</v>
      </c>
      <c r="M167" s="421">
        <v>1800</v>
      </c>
    </row>
    <row r="168" spans="1:16" x14ac:dyDescent="0.3">
      <c r="A168" s="420">
        <v>5</v>
      </c>
      <c r="C168" s="420">
        <f t="shared" si="10"/>
        <v>52</v>
      </c>
      <c r="D168" s="420">
        <f t="shared" si="11"/>
        <v>52</v>
      </c>
      <c r="E168" s="420">
        <f t="shared" si="12"/>
        <v>14</v>
      </c>
      <c r="F168" s="420" t="str">
        <f t="shared" si="13"/>
        <v>pm</v>
      </c>
      <c r="G168" s="420" t="s">
        <v>564</v>
      </c>
      <c r="H168" s="420" t="s">
        <v>256</v>
      </c>
      <c r="I168" s="420" t="s">
        <v>565</v>
      </c>
      <c r="K168" s="421">
        <f t="shared" si="14"/>
        <v>1891.9144582347276</v>
      </c>
      <c r="M168" s="421">
        <v>1800</v>
      </c>
      <c r="N168" s="420">
        <v>1889.3788535790063</v>
      </c>
      <c r="P168" s="420">
        <v>1891.9144582347276</v>
      </c>
    </row>
    <row r="169" spans="1:16" x14ac:dyDescent="0.3">
      <c r="A169" s="420">
        <v>4</v>
      </c>
      <c r="C169" s="420">
        <f t="shared" si="10"/>
        <v>53</v>
      </c>
      <c r="D169" s="420">
        <f t="shared" si="11"/>
        <v>53</v>
      </c>
      <c r="E169" s="420">
        <f t="shared" si="12"/>
        <v>14</v>
      </c>
      <c r="F169" s="420" t="str">
        <f t="shared" si="13"/>
        <v>pm</v>
      </c>
      <c r="G169" s="420" t="s">
        <v>566</v>
      </c>
      <c r="H169" s="420" t="s">
        <v>256</v>
      </c>
      <c r="I169" s="420" t="s">
        <v>567</v>
      </c>
      <c r="K169" s="421">
        <f t="shared" si="14"/>
        <v>1823.7998106301316</v>
      </c>
      <c r="M169" s="421">
        <v>1800</v>
      </c>
      <c r="P169" s="420">
        <v>1823.7998106301316</v>
      </c>
    </row>
    <row r="170" spans="1:16" x14ac:dyDescent="0.3">
      <c r="A170" s="420">
        <v>7</v>
      </c>
      <c r="C170" s="420">
        <f t="shared" si="10"/>
        <v>54</v>
      </c>
      <c r="D170" s="420">
        <f t="shared" si="11"/>
        <v>54</v>
      </c>
      <c r="E170" s="420">
        <f t="shared" si="12"/>
        <v>14</v>
      </c>
      <c r="F170" s="420" t="str">
        <f t="shared" si="13"/>
        <v>pm</v>
      </c>
      <c r="G170" s="420" t="s">
        <v>568</v>
      </c>
      <c r="H170" s="420" t="s">
        <v>261</v>
      </c>
      <c r="I170" s="420" t="s">
        <v>569</v>
      </c>
      <c r="K170" s="421">
        <f t="shared" si="14"/>
        <v>1752.8007396123487</v>
      </c>
      <c r="M170" s="421">
        <v>1800</v>
      </c>
      <c r="N170" s="420">
        <v>1721.4653216549868</v>
      </c>
      <c r="P170" s="420">
        <v>1752.8007396123487</v>
      </c>
    </row>
    <row r="171" spans="1:16" x14ac:dyDescent="0.3">
      <c r="A171" s="420">
        <v>7</v>
      </c>
      <c r="C171" s="420">
        <f t="shared" si="10"/>
        <v>55</v>
      </c>
      <c r="D171" s="420">
        <f t="shared" si="11"/>
        <v>55</v>
      </c>
      <c r="E171" s="420">
        <f t="shared" si="12"/>
        <v>14</v>
      </c>
      <c r="F171" s="420" t="str">
        <f t="shared" si="13"/>
        <v>pm</v>
      </c>
      <c r="G171" s="420" t="s">
        <v>570</v>
      </c>
      <c r="H171" s="420" t="s">
        <v>261</v>
      </c>
      <c r="I171" s="420" t="s">
        <v>571</v>
      </c>
      <c r="K171" s="421">
        <f t="shared" si="14"/>
        <v>1741.8980944244274</v>
      </c>
      <c r="M171" s="421">
        <v>1800</v>
      </c>
      <c r="N171" s="420">
        <v>1748.298089197034</v>
      </c>
      <c r="P171" s="420">
        <v>1741.8980944244274</v>
      </c>
    </row>
    <row r="172" spans="1:16" x14ac:dyDescent="0.3">
      <c r="A172" s="420">
        <v>4</v>
      </c>
      <c r="C172" s="420">
        <f t="shared" si="10"/>
        <v>56</v>
      </c>
      <c r="D172" s="420">
        <f t="shared" si="11"/>
        <v>56</v>
      </c>
      <c r="E172" s="420">
        <f t="shared" si="12"/>
        <v>14</v>
      </c>
      <c r="F172" s="420" t="str">
        <f t="shared" si="13"/>
        <v>pm</v>
      </c>
      <c r="G172" s="420" t="s">
        <v>572</v>
      </c>
      <c r="H172" s="420" t="s">
        <v>261</v>
      </c>
      <c r="I172" s="420" t="s">
        <v>573</v>
      </c>
      <c r="K172" s="421">
        <f t="shared" si="14"/>
        <v>1678.3981971538039</v>
      </c>
      <c r="M172" s="421">
        <v>1800</v>
      </c>
      <c r="P172" s="420">
        <v>1678.3981971538039</v>
      </c>
    </row>
    <row r="173" spans="1:16" x14ac:dyDescent="0.3">
      <c r="A173" s="420">
        <v>6</v>
      </c>
      <c r="C173" s="420">
        <f t="shared" si="10"/>
        <v>57</v>
      </c>
      <c r="D173" s="420">
        <f t="shared" si="11"/>
        <v>57</v>
      </c>
      <c r="E173" s="420">
        <f t="shared" si="12"/>
        <v>14</v>
      </c>
      <c r="F173" s="420" t="str">
        <f t="shared" si="13"/>
        <v>pm</v>
      </c>
      <c r="G173" s="420" t="s">
        <v>574</v>
      </c>
      <c r="H173" s="420" t="s">
        <v>264</v>
      </c>
      <c r="I173" s="420" t="s">
        <v>575</v>
      </c>
      <c r="K173" s="421">
        <f t="shared" si="14"/>
        <v>1761.038353768434</v>
      </c>
      <c r="M173" s="421">
        <v>1800</v>
      </c>
      <c r="P173" s="420">
        <v>1761.038353768434</v>
      </c>
    </row>
    <row r="174" spans="1:16" x14ac:dyDescent="0.3">
      <c r="A174" s="420">
        <v>4</v>
      </c>
      <c r="C174" s="420">
        <f t="shared" si="10"/>
        <v>58</v>
      </c>
      <c r="D174" s="420">
        <f t="shared" si="11"/>
        <v>58</v>
      </c>
      <c r="E174" s="420">
        <f t="shared" si="12"/>
        <v>14</v>
      </c>
      <c r="F174" s="420" t="str">
        <f t="shared" si="13"/>
        <v>pm</v>
      </c>
      <c r="G174" s="420" t="s">
        <v>576</v>
      </c>
      <c r="H174" s="420" t="s">
        <v>318</v>
      </c>
      <c r="I174" s="420" t="s">
        <v>577</v>
      </c>
      <c r="K174" s="421">
        <f t="shared" si="14"/>
        <v>1784.1499381650262</v>
      </c>
      <c r="M174" s="421">
        <v>1800</v>
      </c>
      <c r="N174" s="420">
        <v>1730.7050678538524</v>
      </c>
      <c r="P174" s="420">
        <v>1784.1499381650262</v>
      </c>
    </row>
    <row r="175" spans="1:16" x14ac:dyDescent="0.3">
      <c r="A175" s="420">
        <v>4</v>
      </c>
      <c r="C175" s="420">
        <f t="shared" si="10"/>
        <v>59</v>
      </c>
      <c r="D175" s="420">
        <f t="shared" si="11"/>
        <v>59</v>
      </c>
      <c r="E175" s="420">
        <f t="shared" si="12"/>
        <v>14</v>
      </c>
      <c r="F175" s="420" t="str">
        <f t="shared" si="13"/>
        <v>pm</v>
      </c>
      <c r="G175" s="420" t="s">
        <v>578</v>
      </c>
      <c r="H175" s="420" t="s">
        <v>267</v>
      </c>
      <c r="I175" s="420" t="s">
        <v>579</v>
      </c>
      <c r="K175" s="421">
        <f t="shared" si="14"/>
        <v>1811.7997841538452</v>
      </c>
      <c r="M175" s="421">
        <v>1800</v>
      </c>
      <c r="N175" s="420">
        <v>1811.7997841538452</v>
      </c>
    </row>
    <row r="176" spans="1:16" x14ac:dyDescent="0.3">
      <c r="A176" s="420">
        <v>7</v>
      </c>
      <c r="C176" s="420">
        <f t="shared" si="10"/>
        <v>60</v>
      </c>
      <c r="D176" s="420">
        <f t="shared" si="11"/>
        <v>60</v>
      </c>
      <c r="E176" s="420">
        <f t="shared" si="12"/>
        <v>14</v>
      </c>
      <c r="F176" s="420" t="str">
        <f t="shared" si="13"/>
        <v>pm</v>
      </c>
      <c r="G176" s="420" t="s">
        <v>580</v>
      </c>
      <c r="H176" s="420" t="s">
        <v>416</v>
      </c>
      <c r="I176" s="420" t="s">
        <v>581</v>
      </c>
      <c r="K176" s="421">
        <f t="shared" si="14"/>
        <v>1602.9288959944686</v>
      </c>
      <c r="M176" s="421">
        <v>1800</v>
      </c>
      <c r="N176" s="420">
        <v>1682.2582324305545</v>
      </c>
      <c r="P176" s="420">
        <v>1602.9288959944686</v>
      </c>
    </row>
    <row r="177" spans="1:16" x14ac:dyDescent="0.3">
      <c r="A177" s="420">
        <v>6</v>
      </c>
      <c r="C177" s="420">
        <f t="shared" si="10"/>
        <v>61</v>
      </c>
      <c r="D177" s="420">
        <f t="shared" si="11"/>
        <v>61</v>
      </c>
      <c r="E177" s="420">
        <f t="shared" si="12"/>
        <v>14</v>
      </c>
      <c r="F177" s="420" t="str">
        <f t="shared" si="13"/>
        <v>pm</v>
      </c>
      <c r="G177" s="420" t="s">
        <v>582</v>
      </c>
      <c r="H177" s="420" t="s">
        <v>224</v>
      </c>
      <c r="I177" s="420" t="s">
        <v>583</v>
      </c>
      <c r="K177" s="421">
        <f t="shared" si="14"/>
        <v>1751.778292751929</v>
      </c>
      <c r="M177" s="421">
        <v>1800</v>
      </c>
      <c r="P177" s="420">
        <v>1751.778292751929</v>
      </c>
    </row>
    <row r="178" spans="1:16" x14ac:dyDescent="0.3">
      <c r="A178" s="420">
        <v>6</v>
      </c>
      <c r="C178" s="420">
        <f t="shared" si="10"/>
        <v>62</v>
      </c>
      <c r="D178" s="420">
        <f t="shared" si="11"/>
        <v>62</v>
      </c>
      <c r="E178" s="420">
        <f t="shared" si="12"/>
        <v>14</v>
      </c>
      <c r="F178" s="420" t="str">
        <f t="shared" si="13"/>
        <v>pm</v>
      </c>
      <c r="G178" s="420" t="s">
        <v>584</v>
      </c>
      <c r="H178" s="420" t="s">
        <v>224</v>
      </c>
      <c r="I178" s="420" t="s">
        <v>585</v>
      </c>
      <c r="K178" s="421">
        <f t="shared" si="14"/>
        <v>1768.1399790988805</v>
      </c>
      <c r="M178" s="421">
        <v>1800</v>
      </c>
      <c r="P178" s="420">
        <v>1768.1399790988805</v>
      </c>
    </row>
    <row r="179" spans="1:16" x14ac:dyDescent="0.3">
      <c r="A179" s="420">
        <v>6</v>
      </c>
      <c r="C179" s="420">
        <f t="shared" si="10"/>
        <v>63</v>
      </c>
      <c r="D179" s="420">
        <f t="shared" si="11"/>
        <v>63</v>
      </c>
      <c r="E179" s="420">
        <f t="shared" si="12"/>
        <v>14</v>
      </c>
      <c r="F179" s="420" t="str">
        <f t="shared" si="13"/>
        <v>pm</v>
      </c>
      <c r="G179" s="420" t="s">
        <v>586</v>
      </c>
      <c r="H179" s="420" t="s">
        <v>224</v>
      </c>
      <c r="I179" s="420" t="s">
        <v>587</v>
      </c>
      <c r="K179" s="421">
        <f t="shared" si="14"/>
        <v>1745.9218651374065</v>
      </c>
      <c r="M179" s="421">
        <v>1800</v>
      </c>
      <c r="P179" s="420">
        <v>1745.9218651374065</v>
      </c>
    </row>
    <row r="180" spans="1:16" x14ac:dyDescent="0.3">
      <c r="A180" s="420">
        <v>4</v>
      </c>
      <c r="C180" s="420">
        <f t="shared" si="10"/>
        <v>64</v>
      </c>
      <c r="D180" s="420">
        <f t="shared" si="11"/>
        <v>64</v>
      </c>
      <c r="E180" s="420">
        <f t="shared" si="12"/>
        <v>14</v>
      </c>
      <c r="F180" s="420" t="str">
        <f t="shared" si="13"/>
        <v>pm</v>
      </c>
      <c r="G180" s="420" t="s">
        <v>588</v>
      </c>
      <c r="H180" s="420" t="s">
        <v>273</v>
      </c>
      <c r="I180" s="420" t="s">
        <v>589</v>
      </c>
      <c r="K180" s="421">
        <f t="shared" si="14"/>
        <v>1800</v>
      </c>
      <c r="M180" s="421">
        <v>1800</v>
      </c>
    </row>
    <row r="181" spans="1:16" x14ac:dyDescent="0.3">
      <c r="A181" s="420">
        <v>7</v>
      </c>
      <c r="C181" s="420">
        <f t="shared" si="10"/>
        <v>65</v>
      </c>
      <c r="D181" s="420">
        <f t="shared" si="11"/>
        <v>65</v>
      </c>
      <c r="E181" s="420">
        <f t="shared" si="12"/>
        <v>14</v>
      </c>
      <c r="F181" s="420" t="str">
        <f t="shared" si="13"/>
        <v>pm</v>
      </c>
      <c r="G181" s="420" t="s">
        <v>590</v>
      </c>
      <c r="H181" s="420" t="s">
        <v>278</v>
      </c>
      <c r="I181" s="420" t="s">
        <v>591</v>
      </c>
      <c r="K181" s="421">
        <f t="shared" si="14"/>
        <v>1887.3848284110888</v>
      </c>
      <c r="M181" s="421">
        <v>1800</v>
      </c>
      <c r="N181" s="420">
        <v>1821.545773518581</v>
      </c>
      <c r="P181" s="420">
        <v>1887.3848284110888</v>
      </c>
    </row>
    <row r="182" spans="1:16" x14ac:dyDescent="0.3">
      <c r="A182" s="420">
        <v>5</v>
      </c>
      <c r="C182" s="420">
        <f t="shared" si="10"/>
        <v>66</v>
      </c>
      <c r="D182" s="420">
        <f t="shared" si="11"/>
        <v>66</v>
      </c>
      <c r="E182" s="420">
        <f t="shared" si="12"/>
        <v>14</v>
      </c>
      <c r="F182" s="420" t="str">
        <f t="shared" si="13"/>
        <v>pm</v>
      </c>
      <c r="G182" s="420" t="s">
        <v>592</v>
      </c>
      <c r="H182" s="420" t="s">
        <v>349</v>
      </c>
      <c r="I182" s="420" t="s">
        <v>593</v>
      </c>
      <c r="K182" s="421">
        <f t="shared" si="14"/>
        <v>1728.6570245875689</v>
      </c>
      <c r="M182" s="421">
        <v>1800</v>
      </c>
      <c r="N182" s="420">
        <v>1732.6432403106687</v>
      </c>
      <c r="P182" s="420">
        <v>1728.6570245875689</v>
      </c>
    </row>
    <row r="183" spans="1:16" x14ac:dyDescent="0.3">
      <c r="A183" s="420">
        <v>2</v>
      </c>
      <c r="C183" s="420">
        <f t="shared" si="10"/>
        <v>67</v>
      </c>
      <c r="D183" s="420">
        <f t="shared" si="11"/>
        <v>67</v>
      </c>
      <c r="E183" s="420">
        <f t="shared" si="12"/>
        <v>14</v>
      </c>
      <c r="F183" s="420" t="str">
        <f t="shared" si="13"/>
        <v>pm</v>
      </c>
      <c r="G183" s="420" t="s">
        <v>594</v>
      </c>
      <c r="H183" s="420" t="s">
        <v>200</v>
      </c>
      <c r="I183" s="420" t="s">
        <v>595</v>
      </c>
      <c r="K183" s="421">
        <f t="shared" si="14"/>
        <v>1766.0279354837069</v>
      </c>
      <c r="M183" s="421">
        <v>1800</v>
      </c>
      <c r="P183" s="420">
        <v>1766.0279354837069</v>
      </c>
    </row>
    <row r="184" spans="1:16" x14ac:dyDescent="0.3">
      <c r="A184" s="420">
        <v>2</v>
      </c>
      <c r="C184" s="420">
        <f t="shared" si="10"/>
        <v>68</v>
      </c>
      <c r="D184" s="420">
        <f t="shared" si="11"/>
        <v>68</v>
      </c>
      <c r="E184" s="420">
        <f t="shared" si="12"/>
        <v>14</v>
      </c>
      <c r="F184" s="420" t="str">
        <f t="shared" si="13"/>
        <v>pm</v>
      </c>
      <c r="G184" s="420" t="s">
        <v>596</v>
      </c>
      <c r="H184" s="420" t="s">
        <v>200</v>
      </c>
      <c r="I184" s="420" t="s">
        <v>597</v>
      </c>
      <c r="K184" s="421">
        <f t="shared" si="14"/>
        <v>1810.2573586424166</v>
      </c>
      <c r="M184" s="421">
        <v>1800</v>
      </c>
      <c r="P184" s="420">
        <v>1810.2573586424166</v>
      </c>
    </row>
    <row r="185" spans="1:16" x14ac:dyDescent="0.3">
      <c r="A185" s="420">
        <v>6</v>
      </c>
      <c r="C185" s="420">
        <f t="shared" si="10"/>
        <v>69</v>
      </c>
      <c r="D185" s="420">
        <f t="shared" si="11"/>
        <v>69</v>
      </c>
      <c r="E185" s="420">
        <f t="shared" si="12"/>
        <v>14</v>
      </c>
      <c r="F185" s="420" t="str">
        <f t="shared" si="13"/>
        <v>pm</v>
      </c>
      <c r="G185" s="420" t="s">
        <v>598</v>
      </c>
      <c r="H185" s="420" t="s">
        <v>334</v>
      </c>
      <c r="I185" s="420" t="s">
        <v>599</v>
      </c>
      <c r="K185" s="421">
        <f t="shared" si="14"/>
        <v>1962.7409125642057</v>
      </c>
      <c r="M185" s="421">
        <v>1800</v>
      </c>
      <c r="N185" s="420">
        <v>1880.956617928209</v>
      </c>
      <c r="P185" s="420">
        <v>1962.7409125642057</v>
      </c>
    </row>
    <row r="186" spans="1:16" x14ac:dyDescent="0.3">
      <c r="A186" s="420">
        <v>4</v>
      </c>
      <c r="C186" s="420">
        <f t="shared" si="10"/>
        <v>70</v>
      </c>
      <c r="D186" s="420">
        <f t="shared" si="11"/>
        <v>70</v>
      </c>
      <c r="E186" s="420">
        <f t="shared" si="12"/>
        <v>14</v>
      </c>
      <c r="F186" s="420" t="str">
        <f t="shared" si="13"/>
        <v>pm</v>
      </c>
      <c r="G186" s="420" t="s">
        <v>600</v>
      </c>
      <c r="H186" s="420" t="s">
        <v>334</v>
      </c>
      <c r="I186" s="420" t="s">
        <v>601</v>
      </c>
      <c r="K186" s="421">
        <f t="shared" si="14"/>
        <v>1830.0459906244043</v>
      </c>
      <c r="M186" s="421">
        <v>1800</v>
      </c>
      <c r="P186" s="420">
        <v>1830.0459906244043</v>
      </c>
    </row>
    <row r="187" spans="1:16" x14ac:dyDescent="0.3">
      <c r="A187" s="420">
        <v>1</v>
      </c>
      <c r="C187" s="420">
        <f t="shared" si="10"/>
        <v>71</v>
      </c>
      <c r="D187" s="420">
        <f t="shared" si="11"/>
        <v>71</v>
      </c>
      <c r="E187" s="420">
        <f t="shared" si="12"/>
        <v>14</v>
      </c>
      <c r="F187" s="420" t="str">
        <f t="shared" si="13"/>
        <v>pmx</v>
      </c>
      <c r="G187" s="420" t="s">
        <v>602</v>
      </c>
      <c r="H187" s="420" t="s">
        <v>227</v>
      </c>
      <c r="I187" s="420" t="s">
        <v>603</v>
      </c>
      <c r="K187" s="421">
        <f t="shared" si="14"/>
        <v>1800</v>
      </c>
      <c r="M187" s="421">
        <v>1800</v>
      </c>
    </row>
    <row r="188" spans="1:16" x14ac:dyDescent="0.3">
      <c r="A188" s="420">
        <v>1</v>
      </c>
      <c r="C188" s="420">
        <f t="shared" si="10"/>
        <v>72</v>
      </c>
      <c r="D188" s="420">
        <f t="shared" si="11"/>
        <v>72</v>
      </c>
      <c r="E188" s="420">
        <f t="shared" si="12"/>
        <v>14</v>
      </c>
      <c r="F188" s="420" t="str">
        <f t="shared" si="13"/>
        <v>crx</v>
      </c>
      <c r="G188" s="420" t="s">
        <v>604</v>
      </c>
      <c r="H188" s="420" t="s">
        <v>605</v>
      </c>
      <c r="I188" s="420" t="s">
        <v>606</v>
      </c>
      <c r="K188" s="421">
        <f t="shared" si="14"/>
        <v>1886.3108315496688</v>
      </c>
      <c r="M188" s="421">
        <v>1800</v>
      </c>
      <c r="N188" s="420">
        <v>1886.3108315496688</v>
      </c>
    </row>
    <row r="189" spans="1:16" x14ac:dyDescent="0.3">
      <c r="A189" s="420">
        <v>3</v>
      </c>
      <c r="C189" s="420">
        <f t="shared" si="10"/>
        <v>73</v>
      </c>
      <c r="D189" s="420">
        <f t="shared" si="11"/>
        <v>73</v>
      </c>
      <c r="E189" s="420">
        <f t="shared" si="12"/>
        <v>14</v>
      </c>
      <c r="F189" s="420" t="str">
        <f t="shared" si="13"/>
        <v>cr</v>
      </c>
      <c r="G189" s="420" t="s">
        <v>607</v>
      </c>
      <c r="H189" s="420" t="s">
        <v>203</v>
      </c>
      <c r="I189" s="420" t="s">
        <v>608</v>
      </c>
      <c r="K189" s="421">
        <f t="shared" si="14"/>
        <v>1830.8290630777483</v>
      </c>
      <c r="M189" s="421">
        <v>1800</v>
      </c>
      <c r="P189" s="420">
        <v>1830.8290630777483</v>
      </c>
    </row>
    <row r="190" spans="1:16" x14ac:dyDescent="0.3">
      <c r="A190" s="420">
        <v>3</v>
      </c>
      <c r="C190" s="420">
        <f t="shared" si="10"/>
        <v>74</v>
      </c>
      <c r="D190" s="420">
        <f t="shared" si="11"/>
        <v>74</v>
      </c>
      <c r="E190" s="420">
        <f t="shared" si="12"/>
        <v>14</v>
      </c>
      <c r="F190" s="420" t="str">
        <f t="shared" si="13"/>
        <v>cr</v>
      </c>
      <c r="G190" s="420" t="s">
        <v>609</v>
      </c>
      <c r="H190" s="420" t="s">
        <v>203</v>
      </c>
      <c r="I190" s="420" t="s">
        <v>610</v>
      </c>
      <c r="K190" s="421">
        <f t="shared" si="14"/>
        <v>1771.2603191576552</v>
      </c>
      <c r="M190" s="421">
        <v>1800</v>
      </c>
      <c r="P190" s="420">
        <v>1771.2603191576552</v>
      </c>
    </row>
    <row r="191" spans="1:16" x14ac:dyDescent="0.3">
      <c r="A191" s="420">
        <v>2</v>
      </c>
      <c r="C191" s="420">
        <f t="shared" si="10"/>
        <v>75</v>
      </c>
      <c r="D191" s="420">
        <f t="shared" si="11"/>
        <v>75</v>
      </c>
      <c r="E191" s="420">
        <f t="shared" si="12"/>
        <v>14</v>
      </c>
      <c r="F191" s="420" t="str">
        <f t="shared" si="13"/>
        <v>cr</v>
      </c>
      <c r="G191" s="420" t="s">
        <v>611</v>
      </c>
      <c r="H191" s="420" t="s">
        <v>612</v>
      </c>
      <c r="I191" s="420" t="s">
        <v>613</v>
      </c>
      <c r="K191" s="421">
        <f t="shared" si="14"/>
        <v>1800</v>
      </c>
      <c r="M191" s="421">
        <v>1800</v>
      </c>
    </row>
    <row r="192" spans="1:16" x14ac:dyDescent="0.3">
      <c r="A192" s="420">
        <v>1</v>
      </c>
      <c r="C192" s="420">
        <f t="shared" si="10"/>
        <v>76</v>
      </c>
      <c r="D192" s="420">
        <f t="shared" si="11"/>
        <v>76</v>
      </c>
      <c r="E192" s="420">
        <f t="shared" si="12"/>
        <v>14</v>
      </c>
      <c r="F192" s="420" t="str">
        <f t="shared" si="13"/>
        <v>crx</v>
      </c>
      <c r="G192" s="420" t="s">
        <v>614</v>
      </c>
      <c r="H192" s="420" t="s">
        <v>302</v>
      </c>
      <c r="I192" s="420" t="s">
        <v>615</v>
      </c>
      <c r="K192" s="421">
        <f t="shared" si="14"/>
        <v>1860.5893791805602</v>
      </c>
      <c r="M192" s="421">
        <v>1800</v>
      </c>
      <c r="P192" s="420">
        <v>1860.5893791805602</v>
      </c>
    </row>
    <row r="193" spans="1:16" x14ac:dyDescent="0.3">
      <c r="A193" s="420">
        <v>1</v>
      </c>
      <c r="C193" s="420">
        <f t="shared" si="10"/>
        <v>77</v>
      </c>
      <c r="D193" s="420">
        <f t="shared" si="11"/>
        <v>77</v>
      </c>
      <c r="E193" s="420">
        <f t="shared" si="12"/>
        <v>14</v>
      </c>
      <c r="F193" s="420" t="str">
        <f t="shared" si="13"/>
        <v>crx</v>
      </c>
      <c r="G193" s="420" t="s">
        <v>616</v>
      </c>
      <c r="H193" s="420" t="s">
        <v>302</v>
      </c>
      <c r="I193" s="420" t="s">
        <v>617</v>
      </c>
      <c r="K193" s="421">
        <f t="shared" si="14"/>
        <v>1713.778127804924</v>
      </c>
      <c r="M193" s="421">
        <v>1800</v>
      </c>
      <c r="P193" s="420">
        <v>1713.778127804924</v>
      </c>
    </row>
    <row r="194" spans="1:16" x14ac:dyDescent="0.3">
      <c r="A194" s="420">
        <v>3</v>
      </c>
      <c r="C194" s="420">
        <f t="shared" ref="C194:C257" si="15">IF(E194=E193,C193+1,1)</f>
        <v>78</v>
      </c>
      <c r="D194" s="420">
        <f t="shared" ref="D194:D257" si="16">IF(K194=K193,D193,C194)</f>
        <v>78</v>
      </c>
      <c r="E194" s="420">
        <f t="shared" ref="E194:E257" si="17">10+VALUE(RIGHT(LEFT(G194,3),1))</f>
        <v>14</v>
      </c>
      <c r="F194" s="420" t="str">
        <f t="shared" ref="F194:F257" si="18">RIGHT(G194,2) &amp; IF(A194&lt;2,"x","")</f>
        <v>cr</v>
      </c>
      <c r="G194" s="420" t="s">
        <v>618</v>
      </c>
      <c r="H194" s="420" t="s">
        <v>619</v>
      </c>
      <c r="I194" s="420" t="s">
        <v>620</v>
      </c>
      <c r="K194" s="421">
        <f t="shared" ref="K194:K257" si="19">LOOKUP(1E+100,M194:AB194)</f>
        <v>1914.3121448868815</v>
      </c>
      <c r="M194" s="421">
        <v>1800</v>
      </c>
      <c r="P194" s="420">
        <v>1914.3121448868815</v>
      </c>
    </row>
    <row r="195" spans="1:16" x14ac:dyDescent="0.3">
      <c r="A195" s="420">
        <v>3</v>
      </c>
      <c r="C195" s="420">
        <f t="shared" si="15"/>
        <v>79</v>
      </c>
      <c r="D195" s="420">
        <f t="shared" si="16"/>
        <v>79</v>
      </c>
      <c r="E195" s="420">
        <f t="shared" si="17"/>
        <v>14</v>
      </c>
      <c r="F195" s="420" t="str">
        <f t="shared" si="18"/>
        <v>cr</v>
      </c>
      <c r="G195" s="420" t="s">
        <v>621</v>
      </c>
      <c r="H195" s="420" t="s">
        <v>448</v>
      </c>
      <c r="I195" s="420" t="s">
        <v>622</v>
      </c>
      <c r="K195" s="421">
        <f t="shared" si="19"/>
        <v>1800</v>
      </c>
      <c r="M195" s="421">
        <v>1800</v>
      </c>
    </row>
    <row r="196" spans="1:16" x14ac:dyDescent="0.3">
      <c r="A196" s="420">
        <v>2</v>
      </c>
      <c r="C196" s="420">
        <f t="shared" si="15"/>
        <v>80</v>
      </c>
      <c r="D196" s="420">
        <f t="shared" si="16"/>
        <v>79</v>
      </c>
      <c r="E196" s="420">
        <f t="shared" si="17"/>
        <v>14</v>
      </c>
      <c r="F196" s="420" t="str">
        <f t="shared" si="18"/>
        <v>cr</v>
      </c>
      <c r="G196" s="420" t="s">
        <v>623</v>
      </c>
      <c r="H196" s="420" t="s">
        <v>624</v>
      </c>
      <c r="I196" s="420" t="s">
        <v>625</v>
      </c>
      <c r="K196" s="421">
        <f t="shared" si="19"/>
        <v>1800</v>
      </c>
      <c r="M196" s="421">
        <v>1800</v>
      </c>
    </row>
    <row r="197" spans="1:16" x14ac:dyDescent="0.3">
      <c r="A197" s="420">
        <v>2</v>
      </c>
      <c r="C197" s="420">
        <f t="shared" si="15"/>
        <v>81</v>
      </c>
      <c r="D197" s="420">
        <f t="shared" si="16"/>
        <v>79</v>
      </c>
      <c r="E197" s="420">
        <f t="shared" si="17"/>
        <v>14</v>
      </c>
      <c r="F197" s="420" t="str">
        <f t="shared" si="18"/>
        <v>cr</v>
      </c>
      <c r="G197" s="420" t="s">
        <v>626</v>
      </c>
      <c r="H197" s="420" t="s">
        <v>624</v>
      </c>
      <c r="I197" s="420" t="s">
        <v>627</v>
      </c>
      <c r="K197" s="421">
        <f t="shared" si="19"/>
        <v>1800</v>
      </c>
      <c r="M197" s="421">
        <v>1800</v>
      </c>
    </row>
    <row r="198" spans="1:16" x14ac:dyDescent="0.3">
      <c r="A198" s="420">
        <v>1</v>
      </c>
      <c r="C198" s="420">
        <f t="shared" si="15"/>
        <v>82</v>
      </c>
      <c r="D198" s="420">
        <f t="shared" si="16"/>
        <v>79</v>
      </c>
      <c r="E198" s="420">
        <f t="shared" si="17"/>
        <v>14</v>
      </c>
      <c r="F198" s="420" t="str">
        <f t="shared" si="18"/>
        <v>crx</v>
      </c>
      <c r="G198" s="420" t="s">
        <v>628</v>
      </c>
      <c r="H198" s="420" t="s">
        <v>629</v>
      </c>
      <c r="I198" s="420" t="s">
        <v>630</v>
      </c>
      <c r="K198" s="421">
        <f t="shared" si="19"/>
        <v>1800</v>
      </c>
      <c r="M198" s="421">
        <v>1800</v>
      </c>
    </row>
    <row r="199" spans="1:16" x14ac:dyDescent="0.3">
      <c r="A199" s="420">
        <v>1</v>
      </c>
      <c r="C199" s="420">
        <f t="shared" si="15"/>
        <v>83</v>
      </c>
      <c r="D199" s="420">
        <f t="shared" si="16"/>
        <v>79</v>
      </c>
      <c r="E199" s="420">
        <f t="shared" si="17"/>
        <v>14</v>
      </c>
      <c r="F199" s="420" t="str">
        <f t="shared" si="18"/>
        <v>sox</v>
      </c>
      <c r="G199" s="420" t="s">
        <v>631</v>
      </c>
      <c r="H199" s="420" t="s">
        <v>375</v>
      </c>
      <c r="I199" s="420" t="s">
        <v>632</v>
      </c>
      <c r="K199" s="421">
        <f t="shared" si="19"/>
        <v>1800</v>
      </c>
      <c r="M199" s="421">
        <v>1800</v>
      </c>
    </row>
    <row r="200" spans="1:16" x14ac:dyDescent="0.3">
      <c r="A200" s="420">
        <v>1</v>
      </c>
      <c r="C200" s="420">
        <f t="shared" si="15"/>
        <v>84</v>
      </c>
      <c r="D200" s="420">
        <f t="shared" si="16"/>
        <v>79</v>
      </c>
      <c r="E200" s="420">
        <f t="shared" si="17"/>
        <v>14</v>
      </c>
      <c r="F200" s="420" t="str">
        <f t="shared" si="18"/>
        <v>sox</v>
      </c>
      <c r="G200" s="420" t="s">
        <v>633</v>
      </c>
      <c r="H200" s="420" t="s">
        <v>375</v>
      </c>
      <c r="I200" s="420" t="s">
        <v>634</v>
      </c>
      <c r="K200" s="421">
        <f t="shared" si="19"/>
        <v>1800</v>
      </c>
      <c r="M200" s="421">
        <v>1800</v>
      </c>
    </row>
    <row r="201" spans="1:16" x14ac:dyDescent="0.3">
      <c r="A201" s="420">
        <v>1</v>
      </c>
      <c r="C201" s="420">
        <f t="shared" si="15"/>
        <v>85</v>
      </c>
      <c r="D201" s="420">
        <f t="shared" si="16"/>
        <v>79</v>
      </c>
      <c r="E201" s="420">
        <f t="shared" si="17"/>
        <v>14</v>
      </c>
      <c r="F201" s="420" t="str">
        <f t="shared" si="18"/>
        <v>sox</v>
      </c>
      <c r="G201" s="420" t="s">
        <v>635</v>
      </c>
      <c r="H201" s="420" t="s">
        <v>636</v>
      </c>
      <c r="I201" s="420" t="s">
        <v>637</v>
      </c>
      <c r="K201" s="421">
        <f t="shared" si="19"/>
        <v>1800</v>
      </c>
      <c r="M201" s="421">
        <v>1800</v>
      </c>
    </row>
    <row r="202" spans="1:16" x14ac:dyDescent="0.3">
      <c r="A202" s="420">
        <v>2</v>
      </c>
      <c r="C202" s="420">
        <f t="shared" si="15"/>
        <v>1</v>
      </c>
      <c r="D202" s="420">
        <f t="shared" si="16"/>
        <v>1</v>
      </c>
      <c r="E202" s="420">
        <f t="shared" si="17"/>
        <v>15</v>
      </c>
      <c r="F202" s="420" t="str">
        <f t="shared" si="18"/>
        <v>pm</v>
      </c>
      <c r="G202" s="420" t="s">
        <v>638</v>
      </c>
      <c r="H202" s="420" t="s">
        <v>243</v>
      </c>
      <c r="I202" s="420" t="s">
        <v>639</v>
      </c>
      <c r="K202" s="421">
        <f t="shared" si="19"/>
        <v>2400</v>
      </c>
      <c r="M202" s="421">
        <v>2400</v>
      </c>
    </row>
    <row r="203" spans="1:16" x14ac:dyDescent="0.3">
      <c r="A203" s="420">
        <v>4</v>
      </c>
      <c r="C203" s="420">
        <f t="shared" si="15"/>
        <v>2</v>
      </c>
      <c r="D203" s="420">
        <f t="shared" si="16"/>
        <v>2</v>
      </c>
      <c r="E203" s="420">
        <f t="shared" si="17"/>
        <v>15</v>
      </c>
      <c r="F203" s="420" t="str">
        <f t="shared" si="18"/>
        <v>pm</v>
      </c>
      <c r="G203" s="420" t="s">
        <v>640</v>
      </c>
      <c r="H203" s="420" t="s">
        <v>243</v>
      </c>
      <c r="I203" s="420" t="s">
        <v>641</v>
      </c>
      <c r="K203" s="421">
        <f t="shared" si="19"/>
        <v>2441.2340844359674</v>
      </c>
      <c r="M203" s="421">
        <v>2400</v>
      </c>
      <c r="P203" s="420">
        <v>2441.2340844359674</v>
      </c>
    </row>
    <row r="204" spans="1:16" x14ac:dyDescent="0.3">
      <c r="A204" s="420">
        <v>4</v>
      </c>
      <c r="C204" s="420">
        <f t="shared" si="15"/>
        <v>3</v>
      </c>
      <c r="D204" s="420">
        <f t="shared" si="16"/>
        <v>3</v>
      </c>
      <c r="E204" s="420">
        <f t="shared" si="17"/>
        <v>15</v>
      </c>
      <c r="F204" s="420" t="str">
        <f t="shared" si="18"/>
        <v>pm</v>
      </c>
      <c r="G204" s="420" t="s">
        <v>642</v>
      </c>
      <c r="H204" s="420" t="s">
        <v>243</v>
      </c>
      <c r="I204" s="420" t="s">
        <v>643</v>
      </c>
      <c r="K204" s="421">
        <f t="shared" si="19"/>
        <v>2336.1202937617072</v>
      </c>
      <c r="M204" s="421">
        <v>2400</v>
      </c>
      <c r="P204" s="420">
        <v>2336.1202937617072</v>
      </c>
    </row>
    <row r="205" spans="1:16" x14ac:dyDescent="0.3">
      <c r="A205" s="420">
        <v>3</v>
      </c>
      <c r="C205" s="420">
        <f t="shared" si="15"/>
        <v>4</v>
      </c>
      <c r="D205" s="420">
        <f t="shared" si="16"/>
        <v>4</v>
      </c>
      <c r="E205" s="420">
        <f t="shared" si="17"/>
        <v>15</v>
      </c>
      <c r="F205" s="420" t="str">
        <f t="shared" si="18"/>
        <v>pm</v>
      </c>
      <c r="G205" s="420" t="s">
        <v>644</v>
      </c>
      <c r="H205" s="420" t="s">
        <v>256</v>
      </c>
      <c r="I205" s="420" t="s">
        <v>645</v>
      </c>
      <c r="K205" s="421">
        <f t="shared" si="19"/>
        <v>2381.8589517504856</v>
      </c>
      <c r="M205" s="421">
        <v>2400</v>
      </c>
      <c r="O205" s="420">
        <v>2467.3184086886131</v>
      </c>
      <c r="P205" s="420">
        <v>2381.8589517504856</v>
      </c>
    </row>
    <row r="206" spans="1:16" x14ac:dyDescent="0.3">
      <c r="A206" s="420">
        <v>2</v>
      </c>
      <c r="C206" s="420">
        <f t="shared" si="15"/>
        <v>5</v>
      </c>
      <c r="D206" s="420">
        <f t="shared" si="16"/>
        <v>5</v>
      </c>
      <c r="E206" s="420">
        <f t="shared" si="17"/>
        <v>15</v>
      </c>
      <c r="F206" s="420" t="str">
        <f t="shared" si="18"/>
        <v>pm</v>
      </c>
      <c r="G206" s="420" t="s">
        <v>646</v>
      </c>
      <c r="H206" s="420" t="s">
        <v>256</v>
      </c>
      <c r="I206" s="420" t="s">
        <v>647</v>
      </c>
      <c r="K206" s="421">
        <f t="shared" si="19"/>
        <v>2417.874790352118</v>
      </c>
      <c r="M206" s="421">
        <v>2400</v>
      </c>
      <c r="P206" s="420">
        <v>2417.874790352118</v>
      </c>
    </row>
    <row r="207" spans="1:16" x14ac:dyDescent="0.3">
      <c r="A207" s="420">
        <v>5</v>
      </c>
      <c r="C207" s="420">
        <f t="shared" si="15"/>
        <v>6</v>
      </c>
      <c r="D207" s="420">
        <f t="shared" si="16"/>
        <v>6</v>
      </c>
      <c r="E207" s="420">
        <f t="shared" si="17"/>
        <v>15</v>
      </c>
      <c r="F207" s="420" t="str">
        <f t="shared" si="18"/>
        <v>pm</v>
      </c>
      <c r="G207" s="420" t="s">
        <v>648</v>
      </c>
      <c r="H207" s="420" t="s">
        <v>261</v>
      </c>
      <c r="I207" s="420" t="s">
        <v>649</v>
      </c>
      <c r="K207" s="421">
        <f t="shared" si="19"/>
        <v>2471.4438748412722</v>
      </c>
      <c r="M207" s="421">
        <v>2400</v>
      </c>
      <c r="P207" s="420">
        <v>2471.4438748412722</v>
      </c>
    </row>
    <row r="208" spans="1:16" x14ac:dyDescent="0.3">
      <c r="A208" s="420">
        <v>6</v>
      </c>
      <c r="C208" s="420">
        <f t="shared" si="15"/>
        <v>7</v>
      </c>
      <c r="D208" s="420">
        <f t="shared" si="16"/>
        <v>7</v>
      </c>
      <c r="E208" s="420">
        <f t="shared" si="17"/>
        <v>15</v>
      </c>
      <c r="F208" s="420" t="str">
        <f t="shared" si="18"/>
        <v>pm</v>
      </c>
      <c r="G208" s="420" t="s">
        <v>650</v>
      </c>
      <c r="H208" s="420" t="s">
        <v>261</v>
      </c>
      <c r="I208" s="420" t="s">
        <v>651</v>
      </c>
      <c r="K208" s="421">
        <f t="shared" si="19"/>
        <v>2351.0458116269024</v>
      </c>
      <c r="M208" s="421">
        <v>2400</v>
      </c>
      <c r="O208" s="420">
        <v>2441.8185825032424</v>
      </c>
      <c r="P208" s="420">
        <v>2351.0458116269024</v>
      </c>
    </row>
    <row r="209" spans="1:16" x14ac:dyDescent="0.3">
      <c r="A209" s="420">
        <v>3</v>
      </c>
      <c r="C209" s="420">
        <f t="shared" si="15"/>
        <v>8</v>
      </c>
      <c r="D209" s="420">
        <f t="shared" si="16"/>
        <v>8</v>
      </c>
      <c r="E209" s="420">
        <f t="shared" si="17"/>
        <v>15</v>
      </c>
      <c r="F209" s="420" t="str">
        <f t="shared" si="18"/>
        <v>pm</v>
      </c>
      <c r="G209" s="420" t="s">
        <v>652</v>
      </c>
      <c r="H209" s="420" t="s">
        <v>224</v>
      </c>
      <c r="I209" s="420" t="s">
        <v>653</v>
      </c>
      <c r="K209" s="421">
        <f t="shared" si="19"/>
        <v>2400</v>
      </c>
      <c r="M209" s="421">
        <v>2400</v>
      </c>
    </row>
    <row r="210" spans="1:16" x14ac:dyDescent="0.3">
      <c r="A210" s="420">
        <v>3</v>
      </c>
      <c r="C210" s="420">
        <f t="shared" si="15"/>
        <v>9</v>
      </c>
      <c r="D210" s="420">
        <f t="shared" si="16"/>
        <v>8</v>
      </c>
      <c r="E210" s="420">
        <f t="shared" si="17"/>
        <v>15</v>
      </c>
      <c r="F210" s="420" t="str">
        <f t="shared" si="18"/>
        <v>pm</v>
      </c>
      <c r="G210" s="420" t="s">
        <v>654</v>
      </c>
      <c r="H210" s="420" t="s">
        <v>224</v>
      </c>
      <c r="I210" s="420" t="s">
        <v>655</v>
      </c>
      <c r="K210" s="421">
        <f t="shared" si="19"/>
        <v>2400</v>
      </c>
      <c r="M210" s="421">
        <v>2400</v>
      </c>
    </row>
    <row r="211" spans="1:16" x14ac:dyDescent="0.3">
      <c r="A211" s="420">
        <v>4</v>
      </c>
      <c r="C211" s="420">
        <f t="shared" si="15"/>
        <v>10</v>
      </c>
      <c r="D211" s="420">
        <f t="shared" si="16"/>
        <v>10</v>
      </c>
      <c r="E211" s="420">
        <f t="shared" si="17"/>
        <v>15</v>
      </c>
      <c r="F211" s="420" t="str">
        <f t="shared" si="18"/>
        <v>pm</v>
      </c>
      <c r="G211" s="420" t="s">
        <v>656</v>
      </c>
      <c r="H211" s="420" t="s">
        <v>224</v>
      </c>
      <c r="I211" s="420" t="s">
        <v>657</v>
      </c>
      <c r="K211" s="421">
        <f t="shared" si="19"/>
        <v>2393.1790713515361</v>
      </c>
      <c r="M211" s="421">
        <v>2400</v>
      </c>
      <c r="O211" s="420">
        <v>2393.1790713515361</v>
      </c>
    </row>
    <row r="212" spans="1:16" x14ac:dyDescent="0.3">
      <c r="A212" s="420">
        <v>3</v>
      </c>
      <c r="C212" s="420">
        <f t="shared" si="15"/>
        <v>11</v>
      </c>
      <c r="D212" s="420">
        <f t="shared" si="16"/>
        <v>11</v>
      </c>
      <c r="E212" s="420">
        <f t="shared" si="17"/>
        <v>15</v>
      </c>
      <c r="F212" s="420" t="str">
        <f t="shared" si="18"/>
        <v>pm</v>
      </c>
      <c r="G212" s="420" t="s">
        <v>658</v>
      </c>
      <c r="H212" s="420" t="s">
        <v>224</v>
      </c>
      <c r="I212" s="420" t="s">
        <v>659</v>
      </c>
      <c r="K212" s="421">
        <f t="shared" si="19"/>
        <v>2296.1318958952461</v>
      </c>
      <c r="M212" s="421">
        <v>2400</v>
      </c>
      <c r="P212" s="420">
        <v>2296.1318958952461</v>
      </c>
    </row>
    <row r="213" spans="1:16" x14ac:dyDescent="0.3">
      <c r="A213" s="420">
        <v>5</v>
      </c>
      <c r="C213" s="420">
        <f t="shared" si="15"/>
        <v>12</v>
      </c>
      <c r="D213" s="420">
        <f t="shared" si="16"/>
        <v>12</v>
      </c>
      <c r="E213" s="420">
        <f t="shared" si="17"/>
        <v>15</v>
      </c>
      <c r="F213" s="420" t="str">
        <f t="shared" si="18"/>
        <v>pm</v>
      </c>
      <c r="G213" s="420" t="s">
        <v>660</v>
      </c>
      <c r="H213" s="420" t="s">
        <v>224</v>
      </c>
      <c r="I213" s="420" t="s">
        <v>661</v>
      </c>
      <c r="K213" s="421">
        <f t="shared" si="19"/>
        <v>2298.8859045016379</v>
      </c>
      <c r="M213" s="421">
        <v>2400</v>
      </c>
      <c r="O213" s="420">
        <v>2298.8859045016379</v>
      </c>
    </row>
    <row r="214" spans="1:16" x14ac:dyDescent="0.3">
      <c r="A214" s="420">
        <v>3</v>
      </c>
      <c r="C214" s="420">
        <f t="shared" si="15"/>
        <v>13</v>
      </c>
      <c r="D214" s="420">
        <f t="shared" si="16"/>
        <v>13</v>
      </c>
      <c r="E214" s="420">
        <f t="shared" si="17"/>
        <v>15</v>
      </c>
      <c r="F214" s="420" t="str">
        <f t="shared" si="18"/>
        <v>pm</v>
      </c>
      <c r="G214" s="420" t="s">
        <v>662</v>
      </c>
      <c r="H214" s="420" t="s">
        <v>663</v>
      </c>
      <c r="I214" s="420" t="s">
        <v>664</v>
      </c>
      <c r="K214" s="421">
        <f t="shared" si="19"/>
        <v>2333.6714401541003</v>
      </c>
      <c r="M214" s="421">
        <v>2400</v>
      </c>
      <c r="P214" s="420">
        <v>2333.6714401541003</v>
      </c>
    </row>
    <row r="215" spans="1:16" x14ac:dyDescent="0.3">
      <c r="A215" s="420">
        <v>7</v>
      </c>
      <c r="C215" s="420">
        <f t="shared" si="15"/>
        <v>14</v>
      </c>
      <c r="D215" s="420">
        <f t="shared" si="16"/>
        <v>14</v>
      </c>
      <c r="E215" s="420">
        <f t="shared" si="17"/>
        <v>15</v>
      </c>
      <c r="F215" s="420" t="str">
        <f t="shared" si="18"/>
        <v>pm</v>
      </c>
      <c r="G215" s="420" t="s">
        <v>665</v>
      </c>
      <c r="H215" s="420" t="s">
        <v>278</v>
      </c>
      <c r="I215" s="420" t="s">
        <v>666</v>
      </c>
      <c r="K215" s="421">
        <f t="shared" si="19"/>
        <v>2407.569219000482</v>
      </c>
      <c r="M215" s="421">
        <v>2400</v>
      </c>
      <c r="O215" s="420">
        <v>2440.2205530331553</v>
      </c>
      <c r="P215" s="420">
        <v>2407.569219000482</v>
      </c>
    </row>
    <row r="216" spans="1:16" x14ac:dyDescent="0.3">
      <c r="A216" s="420">
        <v>2</v>
      </c>
      <c r="C216" s="420">
        <f t="shared" si="15"/>
        <v>15</v>
      </c>
      <c r="D216" s="420">
        <f t="shared" si="16"/>
        <v>15</v>
      </c>
      <c r="E216" s="420">
        <f t="shared" si="17"/>
        <v>15</v>
      </c>
      <c r="F216" s="420" t="str">
        <f t="shared" si="18"/>
        <v>pm</v>
      </c>
      <c r="G216" s="420" t="s">
        <v>667</v>
      </c>
      <c r="H216" s="420" t="s">
        <v>349</v>
      </c>
      <c r="I216" s="420" t="s">
        <v>668</v>
      </c>
      <c r="K216" s="421">
        <f t="shared" si="19"/>
        <v>2490.4097268780183</v>
      </c>
      <c r="M216" s="421">
        <v>2400</v>
      </c>
      <c r="P216" s="420">
        <v>2490.4097268780183</v>
      </c>
    </row>
    <row r="217" spans="1:16" x14ac:dyDescent="0.3">
      <c r="A217" s="420">
        <v>2</v>
      </c>
      <c r="C217" s="420">
        <f t="shared" si="15"/>
        <v>16</v>
      </c>
      <c r="D217" s="420">
        <f t="shared" si="16"/>
        <v>16</v>
      </c>
      <c r="E217" s="420">
        <f t="shared" si="17"/>
        <v>15</v>
      </c>
      <c r="F217" s="420" t="str">
        <f t="shared" si="18"/>
        <v>pm</v>
      </c>
      <c r="G217" s="420" t="s">
        <v>669</v>
      </c>
      <c r="H217" s="420" t="s">
        <v>352</v>
      </c>
      <c r="I217" s="420" t="s">
        <v>670</v>
      </c>
      <c r="K217" s="421">
        <f t="shared" si="19"/>
        <v>2400</v>
      </c>
      <c r="M217" s="421">
        <v>2400</v>
      </c>
    </row>
    <row r="218" spans="1:16" x14ac:dyDescent="0.3">
      <c r="A218" s="420">
        <v>1</v>
      </c>
      <c r="C218" s="420">
        <f t="shared" si="15"/>
        <v>17</v>
      </c>
      <c r="D218" s="420">
        <f t="shared" si="16"/>
        <v>17</v>
      </c>
      <c r="E218" s="420">
        <f t="shared" si="17"/>
        <v>15</v>
      </c>
      <c r="F218" s="420" t="str">
        <f t="shared" si="18"/>
        <v>pmx</v>
      </c>
      <c r="G218" s="420" t="s">
        <v>671</v>
      </c>
      <c r="H218" s="420" t="s">
        <v>192</v>
      </c>
      <c r="I218" s="420" t="s">
        <v>672</v>
      </c>
      <c r="K218" s="421">
        <f t="shared" si="19"/>
        <v>2486.0438385750294</v>
      </c>
      <c r="M218" s="421">
        <v>2400</v>
      </c>
      <c r="P218" s="420">
        <v>2486.0438385750294</v>
      </c>
    </row>
    <row r="219" spans="1:16" x14ac:dyDescent="0.3">
      <c r="A219" s="420">
        <v>2</v>
      </c>
      <c r="C219" s="420">
        <f t="shared" si="15"/>
        <v>18</v>
      </c>
      <c r="D219" s="420">
        <f t="shared" si="16"/>
        <v>18</v>
      </c>
      <c r="E219" s="420">
        <f t="shared" si="17"/>
        <v>15</v>
      </c>
      <c r="F219" s="420" t="str">
        <f t="shared" si="18"/>
        <v>pm</v>
      </c>
      <c r="G219" s="420" t="s">
        <v>673</v>
      </c>
      <c r="H219" s="420" t="s">
        <v>215</v>
      </c>
      <c r="I219" s="420" t="s">
        <v>674</v>
      </c>
      <c r="K219" s="421">
        <f t="shared" si="19"/>
        <v>2468.9034180624526</v>
      </c>
      <c r="M219" s="421">
        <v>2400</v>
      </c>
      <c r="P219" s="420">
        <v>2468.9034180624526</v>
      </c>
    </row>
    <row r="220" spans="1:16" x14ac:dyDescent="0.3">
      <c r="A220" s="420">
        <v>3</v>
      </c>
      <c r="C220" s="420">
        <f t="shared" si="15"/>
        <v>19</v>
      </c>
      <c r="D220" s="420">
        <f t="shared" si="16"/>
        <v>19</v>
      </c>
      <c r="E220" s="420">
        <f t="shared" si="17"/>
        <v>15</v>
      </c>
      <c r="F220" s="420" t="str">
        <f t="shared" si="18"/>
        <v>pm</v>
      </c>
      <c r="G220" s="420" t="s">
        <v>675</v>
      </c>
      <c r="H220" s="420" t="s">
        <v>215</v>
      </c>
      <c r="I220" s="420" t="s">
        <v>676</v>
      </c>
      <c r="K220" s="421">
        <f t="shared" si="19"/>
        <v>2313.0079257034422</v>
      </c>
      <c r="M220" s="421">
        <v>2400</v>
      </c>
      <c r="P220" s="420">
        <v>2313.0079257034422</v>
      </c>
    </row>
    <row r="221" spans="1:16" x14ac:dyDescent="0.3">
      <c r="A221" s="420">
        <v>2</v>
      </c>
      <c r="C221" s="420">
        <f t="shared" si="15"/>
        <v>20</v>
      </c>
      <c r="D221" s="420">
        <f t="shared" si="16"/>
        <v>20</v>
      </c>
      <c r="E221" s="420">
        <f t="shared" si="17"/>
        <v>15</v>
      </c>
      <c r="F221" s="420" t="str">
        <f t="shared" si="18"/>
        <v>pm</v>
      </c>
      <c r="G221" s="420" t="s">
        <v>677</v>
      </c>
      <c r="H221" s="420" t="s">
        <v>283</v>
      </c>
      <c r="I221" s="420" t="s">
        <v>678</v>
      </c>
      <c r="K221" s="421">
        <f t="shared" si="19"/>
        <v>2400</v>
      </c>
      <c r="M221" s="421">
        <v>2400</v>
      </c>
    </row>
    <row r="222" spans="1:16" x14ac:dyDescent="0.3">
      <c r="A222" s="420">
        <v>2</v>
      </c>
      <c r="C222" s="420">
        <f t="shared" si="15"/>
        <v>21</v>
      </c>
      <c r="D222" s="420">
        <f t="shared" si="16"/>
        <v>20</v>
      </c>
      <c r="E222" s="420">
        <f t="shared" si="17"/>
        <v>15</v>
      </c>
      <c r="F222" s="420" t="str">
        <f t="shared" si="18"/>
        <v>pm</v>
      </c>
      <c r="G222" s="420" t="s">
        <v>679</v>
      </c>
      <c r="H222" s="420" t="s">
        <v>218</v>
      </c>
      <c r="I222" s="420" t="s">
        <v>680</v>
      </c>
      <c r="K222" s="421">
        <f t="shared" si="19"/>
        <v>2400</v>
      </c>
      <c r="M222" s="421">
        <v>2400</v>
      </c>
    </row>
    <row r="223" spans="1:16" x14ac:dyDescent="0.3">
      <c r="A223" s="420">
        <v>1</v>
      </c>
      <c r="C223" s="420">
        <f t="shared" si="15"/>
        <v>22</v>
      </c>
      <c r="D223" s="420">
        <f t="shared" si="16"/>
        <v>20</v>
      </c>
      <c r="E223" s="420">
        <f t="shared" si="17"/>
        <v>15</v>
      </c>
      <c r="F223" s="420" t="str">
        <f t="shared" si="18"/>
        <v>pmx</v>
      </c>
      <c r="G223" s="420" t="s">
        <v>681</v>
      </c>
      <c r="H223" s="420" t="s">
        <v>227</v>
      </c>
      <c r="I223" s="420" t="s">
        <v>682</v>
      </c>
      <c r="K223" s="421">
        <f t="shared" si="19"/>
        <v>2400</v>
      </c>
      <c r="M223" s="421">
        <v>2400</v>
      </c>
    </row>
    <row r="224" spans="1:16" x14ac:dyDescent="0.3">
      <c r="A224" s="420">
        <v>2</v>
      </c>
      <c r="C224" s="420">
        <f t="shared" si="15"/>
        <v>23</v>
      </c>
      <c r="D224" s="420">
        <f t="shared" si="16"/>
        <v>20</v>
      </c>
      <c r="E224" s="420">
        <f t="shared" si="17"/>
        <v>15</v>
      </c>
      <c r="F224" s="420" t="str">
        <f t="shared" si="18"/>
        <v>pm</v>
      </c>
      <c r="G224" s="420" t="s">
        <v>683</v>
      </c>
      <c r="H224" s="420" t="s">
        <v>227</v>
      </c>
      <c r="I224" s="420" t="s">
        <v>684</v>
      </c>
      <c r="K224" s="421">
        <f t="shared" si="19"/>
        <v>2400</v>
      </c>
      <c r="M224" s="421">
        <v>2400</v>
      </c>
    </row>
    <row r="225" spans="1:16" x14ac:dyDescent="0.3">
      <c r="A225" s="420">
        <v>2</v>
      </c>
      <c r="C225" s="420">
        <f t="shared" si="15"/>
        <v>24</v>
      </c>
      <c r="D225" s="420">
        <f t="shared" si="16"/>
        <v>20</v>
      </c>
      <c r="E225" s="420">
        <f t="shared" si="17"/>
        <v>15</v>
      </c>
      <c r="F225" s="420" t="str">
        <f t="shared" si="18"/>
        <v>pm</v>
      </c>
      <c r="G225" s="420" t="s">
        <v>685</v>
      </c>
      <c r="H225" s="420" t="s">
        <v>221</v>
      </c>
      <c r="I225" s="420" t="s">
        <v>686</v>
      </c>
      <c r="K225" s="421">
        <f t="shared" si="19"/>
        <v>2400</v>
      </c>
      <c r="M225" s="421">
        <v>2400</v>
      </c>
    </row>
    <row r="226" spans="1:16" x14ac:dyDescent="0.3">
      <c r="A226" s="420">
        <v>1</v>
      </c>
      <c r="C226" s="420">
        <f t="shared" si="15"/>
        <v>25</v>
      </c>
      <c r="D226" s="420">
        <f t="shared" si="16"/>
        <v>20</v>
      </c>
      <c r="E226" s="420">
        <f t="shared" si="17"/>
        <v>15</v>
      </c>
      <c r="F226" s="420" t="str">
        <f t="shared" si="18"/>
        <v>crx</v>
      </c>
      <c r="G226" s="420" t="s">
        <v>687</v>
      </c>
      <c r="H226" s="420" t="s">
        <v>372</v>
      </c>
      <c r="I226" s="420" t="s">
        <v>688</v>
      </c>
      <c r="K226" s="421">
        <f t="shared" si="19"/>
        <v>2400</v>
      </c>
      <c r="M226" s="421">
        <v>2400</v>
      </c>
    </row>
    <row r="227" spans="1:16" x14ac:dyDescent="0.3">
      <c r="A227" s="420">
        <v>1</v>
      </c>
      <c r="C227" s="420">
        <f t="shared" si="15"/>
        <v>26</v>
      </c>
      <c r="D227" s="420">
        <f t="shared" si="16"/>
        <v>20</v>
      </c>
      <c r="E227" s="420">
        <f t="shared" si="17"/>
        <v>15</v>
      </c>
      <c r="F227" s="420" t="str">
        <f t="shared" si="18"/>
        <v>odx</v>
      </c>
      <c r="G227" s="420" t="s">
        <v>689</v>
      </c>
      <c r="H227" s="420" t="s">
        <v>690</v>
      </c>
      <c r="I227" s="420" t="s">
        <v>691</v>
      </c>
      <c r="K227" s="421">
        <f t="shared" si="19"/>
        <v>2400</v>
      </c>
      <c r="M227" s="421">
        <v>2400</v>
      </c>
    </row>
    <row r="228" spans="1:16" x14ac:dyDescent="0.3">
      <c r="A228" s="420">
        <v>1</v>
      </c>
      <c r="C228" s="420">
        <f t="shared" si="15"/>
        <v>27</v>
      </c>
      <c r="D228" s="420">
        <f t="shared" si="16"/>
        <v>20</v>
      </c>
      <c r="E228" s="420">
        <f t="shared" si="17"/>
        <v>15</v>
      </c>
      <c r="F228" s="420" t="str">
        <f t="shared" si="18"/>
        <v>sox</v>
      </c>
      <c r="G228" s="420" t="s">
        <v>692</v>
      </c>
      <c r="H228" s="420" t="s">
        <v>693</v>
      </c>
      <c r="I228" s="420" t="s">
        <v>694</v>
      </c>
      <c r="K228" s="421">
        <f t="shared" si="19"/>
        <v>2400</v>
      </c>
      <c r="M228" s="421">
        <v>2400</v>
      </c>
    </row>
    <row r="229" spans="1:16" x14ac:dyDescent="0.3">
      <c r="A229" s="420">
        <v>1</v>
      </c>
      <c r="C229" s="420">
        <f t="shared" si="15"/>
        <v>28</v>
      </c>
      <c r="D229" s="420">
        <f t="shared" si="16"/>
        <v>20</v>
      </c>
      <c r="E229" s="420">
        <f t="shared" si="17"/>
        <v>15</v>
      </c>
      <c r="F229" s="420" t="str">
        <f t="shared" si="18"/>
        <v>sox</v>
      </c>
      <c r="G229" s="420" t="s">
        <v>695</v>
      </c>
      <c r="H229" s="420" t="s">
        <v>696</v>
      </c>
      <c r="I229" s="420" t="s">
        <v>697</v>
      </c>
      <c r="K229" s="421">
        <f t="shared" si="19"/>
        <v>2400</v>
      </c>
      <c r="M229" s="421">
        <v>2400</v>
      </c>
    </row>
    <row r="230" spans="1:16" x14ac:dyDescent="0.3">
      <c r="A230" s="420">
        <v>3</v>
      </c>
      <c r="C230" s="420">
        <f t="shared" si="15"/>
        <v>29</v>
      </c>
      <c r="D230" s="420">
        <f t="shared" si="16"/>
        <v>20</v>
      </c>
      <c r="E230" s="420">
        <f t="shared" si="17"/>
        <v>15</v>
      </c>
      <c r="F230" s="420" t="str">
        <f t="shared" si="18"/>
        <v>so</v>
      </c>
      <c r="G230" s="420" t="s">
        <v>698</v>
      </c>
      <c r="H230" s="420" t="s">
        <v>696</v>
      </c>
      <c r="I230" s="420" t="s">
        <v>699</v>
      </c>
      <c r="K230" s="421">
        <f t="shared" si="19"/>
        <v>2400</v>
      </c>
      <c r="M230" s="421">
        <v>2400</v>
      </c>
    </row>
    <row r="231" spans="1:16" x14ac:dyDescent="0.3">
      <c r="A231" s="420">
        <v>1</v>
      </c>
      <c r="C231" s="420">
        <f t="shared" si="15"/>
        <v>30</v>
      </c>
      <c r="D231" s="420">
        <f t="shared" si="16"/>
        <v>20</v>
      </c>
      <c r="E231" s="420">
        <f t="shared" si="17"/>
        <v>15</v>
      </c>
      <c r="F231" s="420" t="str">
        <f t="shared" si="18"/>
        <v>pmx</v>
      </c>
      <c r="G231" s="420" t="s">
        <v>700</v>
      </c>
      <c r="H231" s="420" t="s">
        <v>352</v>
      </c>
      <c r="I231" s="420" t="s">
        <v>701</v>
      </c>
      <c r="K231" s="421">
        <f t="shared" si="19"/>
        <v>2400</v>
      </c>
      <c r="M231" s="421">
        <v>2400</v>
      </c>
    </row>
    <row r="232" spans="1:16" x14ac:dyDescent="0.3">
      <c r="A232" s="420">
        <v>4</v>
      </c>
      <c r="C232" s="420">
        <f t="shared" si="15"/>
        <v>31</v>
      </c>
      <c r="D232" s="420">
        <f t="shared" si="16"/>
        <v>20</v>
      </c>
      <c r="E232" s="420">
        <f t="shared" si="17"/>
        <v>15</v>
      </c>
      <c r="F232" s="420" t="str">
        <f t="shared" si="18"/>
        <v>pm</v>
      </c>
      <c r="G232" s="420" t="s">
        <v>702</v>
      </c>
      <c r="H232" s="420" t="s">
        <v>288</v>
      </c>
      <c r="I232" s="420" t="s">
        <v>703</v>
      </c>
      <c r="K232" s="421">
        <f t="shared" si="19"/>
        <v>2400</v>
      </c>
      <c r="M232" s="421">
        <v>2400</v>
      </c>
    </row>
    <row r="233" spans="1:16" x14ac:dyDescent="0.3">
      <c r="A233" s="420">
        <v>5</v>
      </c>
      <c r="C233" s="420">
        <f t="shared" si="15"/>
        <v>32</v>
      </c>
      <c r="D233" s="420">
        <f t="shared" si="16"/>
        <v>32</v>
      </c>
      <c r="E233" s="420">
        <f t="shared" si="17"/>
        <v>15</v>
      </c>
      <c r="F233" s="420" t="str">
        <f t="shared" si="18"/>
        <v>pm</v>
      </c>
      <c r="G233" s="420" t="s">
        <v>704</v>
      </c>
      <c r="H233" s="420" t="s">
        <v>288</v>
      </c>
      <c r="I233" s="420" t="s">
        <v>705</v>
      </c>
      <c r="K233" s="421">
        <f t="shared" si="19"/>
        <v>2429.3281503386752</v>
      </c>
      <c r="M233" s="421">
        <v>2400</v>
      </c>
      <c r="O233" s="420">
        <v>2429.3281503386752</v>
      </c>
    </row>
    <row r="234" spans="1:16" x14ac:dyDescent="0.3">
      <c r="A234" s="420">
        <v>5</v>
      </c>
      <c r="C234" s="420">
        <f t="shared" si="15"/>
        <v>33</v>
      </c>
      <c r="D234" s="420">
        <f t="shared" si="16"/>
        <v>33</v>
      </c>
      <c r="E234" s="420">
        <f t="shared" si="17"/>
        <v>15</v>
      </c>
      <c r="F234" s="420" t="str">
        <f t="shared" si="18"/>
        <v>pm</v>
      </c>
      <c r="G234" s="420" t="s">
        <v>706</v>
      </c>
      <c r="H234" s="420" t="s">
        <v>288</v>
      </c>
      <c r="I234" s="420" t="s">
        <v>707</v>
      </c>
      <c r="K234" s="421">
        <f t="shared" si="19"/>
        <v>2364.2098949089186</v>
      </c>
      <c r="M234" s="421">
        <v>2400</v>
      </c>
      <c r="O234" s="420">
        <v>2364.2098949089186</v>
      </c>
    </row>
    <row r="235" spans="1:16" x14ac:dyDescent="0.3">
      <c r="A235" s="420">
        <v>3</v>
      </c>
      <c r="C235" s="420">
        <f t="shared" si="15"/>
        <v>34</v>
      </c>
      <c r="D235" s="420">
        <f t="shared" si="16"/>
        <v>34</v>
      </c>
      <c r="E235" s="420">
        <f t="shared" si="17"/>
        <v>15</v>
      </c>
      <c r="F235" s="420" t="str">
        <f t="shared" si="18"/>
        <v>pm</v>
      </c>
      <c r="G235" s="420" t="s">
        <v>708</v>
      </c>
      <c r="H235" s="420" t="s">
        <v>227</v>
      </c>
      <c r="I235" s="420" t="s">
        <v>709</v>
      </c>
      <c r="K235" s="421">
        <f t="shared" si="19"/>
        <v>2421.6337699850151</v>
      </c>
      <c r="M235" s="421">
        <v>2333.3333333333335</v>
      </c>
      <c r="O235" s="420">
        <v>2421.6337699850151</v>
      </c>
    </row>
    <row r="236" spans="1:16" x14ac:dyDescent="0.3">
      <c r="A236" s="420">
        <v>5</v>
      </c>
      <c r="C236" s="420">
        <f t="shared" si="15"/>
        <v>35</v>
      </c>
      <c r="D236" s="420">
        <f t="shared" si="16"/>
        <v>35</v>
      </c>
      <c r="E236" s="420">
        <f t="shared" si="17"/>
        <v>15</v>
      </c>
      <c r="F236" s="420" t="str">
        <f t="shared" si="18"/>
        <v>pm</v>
      </c>
      <c r="G236" s="420" t="s">
        <v>710</v>
      </c>
      <c r="H236" s="420" t="s">
        <v>305</v>
      </c>
      <c r="I236" s="420" t="s">
        <v>711</v>
      </c>
      <c r="K236" s="421">
        <f t="shared" si="19"/>
        <v>2443.7279493714677</v>
      </c>
      <c r="M236" s="421">
        <v>2320</v>
      </c>
      <c r="N236" s="420">
        <v>2443.7279493714677</v>
      </c>
    </row>
    <row r="237" spans="1:16" x14ac:dyDescent="0.3">
      <c r="A237" s="420">
        <v>2</v>
      </c>
      <c r="C237" s="420">
        <f t="shared" si="15"/>
        <v>36</v>
      </c>
      <c r="D237" s="420">
        <f t="shared" si="16"/>
        <v>36</v>
      </c>
      <c r="E237" s="420">
        <f t="shared" si="17"/>
        <v>15</v>
      </c>
      <c r="F237" s="420" t="str">
        <f t="shared" si="18"/>
        <v>pm</v>
      </c>
      <c r="G237" s="420" t="s">
        <v>712</v>
      </c>
      <c r="H237" s="420" t="s">
        <v>200</v>
      </c>
      <c r="I237" s="420" t="s">
        <v>713</v>
      </c>
      <c r="K237" s="421">
        <f t="shared" si="19"/>
        <v>2356.2959603435406</v>
      </c>
      <c r="M237" s="421">
        <v>2300</v>
      </c>
      <c r="P237" s="420">
        <v>2356.2959603435406</v>
      </c>
    </row>
    <row r="238" spans="1:16" x14ac:dyDescent="0.3">
      <c r="A238" s="420">
        <v>5</v>
      </c>
      <c r="C238" s="420">
        <f t="shared" si="15"/>
        <v>37</v>
      </c>
      <c r="D238" s="420">
        <f t="shared" si="16"/>
        <v>37</v>
      </c>
      <c r="E238" s="420">
        <f t="shared" si="17"/>
        <v>15</v>
      </c>
      <c r="F238" s="420" t="str">
        <f t="shared" si="18"/>
        <v>pm</v>
      </c>
      <c r="G238" s="420" t="s">
        <v>714</v>
      </c>
      <c r="H238" s="420" t="s">
        <v>715</v>
      </c>
      <c r="I238" s="420" t="s">
        <v>716</v>
      </c>
      <c r="K238" s="421">
        <f t="shared" si="19"/>
        <v>2173.5347882407832</v>
      </c>
      <c r="M238" s="421">
        <v>2240</v>
      </c>
      <c r="P238" s="420">
        <v>2173.5347882407832</v>
      </c>
    </row>
    <row r="239" spans="1:16" x14ac:dyDescent="0.3">
      <c r="A239" s="420">
        <v>2</v>
      </c>
      <c r="C239" s="420">
        <f t="shared" si="15"/>
        <v>38</v>
      </c>
      <c r="D239" s="420">
        <f t="shared" si="16"/>
        <v>38</v>
      </c>
      <c r="E239" s="420">
        <f t="shared" si="17"/>
        <v>15</v>
      </c>
      <c r="F239" s="420" t="str">
        <f t="shared" si="18"/>
        <v>pm</v>
      </c>
      <c r="G239" s="420" t="s">
        <v>717</v>
      </c>
      <c r="H239" s="420" t="s">
        <v>227</v>
      </c>
      <c r="I239" s="420" t="s">
        <v>718</v>
      </c>
      <c r="K239" s="421">
        <f t="shared" si="19"/>
        <v>2200</v>
      </c>
      <c r="M239" s="421">
        <v>2200</v>
      </c>
    </row>
    <row r="240" spans="1:16" x14ac:dyDescent="0.3">
      <c r="A240" s="420">
        <v>2</v>
      </c>
      <c r="C240" s="420">
        <f t="shared" si="15"/>
        <v>39</v>
      </c>
      <c r="D240" s="420">
        <f t="shared" si="16"/>
        <v>38</v>
      </c>
      <c r="E240" s="420">
        <f t="shared" si="17"/>
        <v>15</v>
      </c>
      <c r="F240" s="420" t="str">
        <f t="shared" si="18"/>
        <v>pm</v>
      </c>
      <c r="G240" s="420" t="s">
        <v>719</v>
      </c>
      <c r="H240" s="420" t="s">
        <v>227</v>
      </c>
      <c r="I240" s="420" t="s">
        <v>720</v>
      </c>
      <c r="K240" s="421">
        <f t="shared" si="19"/>
        <v>2200</v>
      </c>
      <c r="M240" s="421">
        <v>2200</v>
      </c>
    </row>
    <row r="241" spans="1:16" x14ac:dyDescent="0.3">
      <c r="A241" s="420">
        <v>2</v>
      </c>
      <c r="C241" s="420">
        <f t="shared" si="15"/>
        <v>40</v>
      </c>
      <c r="D241" s="420">
        <f t="shared" si="16"/>
        <v>38</v>
      </c>
      <c r="E241" s="420">
        <f t="shared" si="17"/>
        <v>15</v>
      </c>
      <c r="F241" s="420" t="str">
        <f t="shared" si="18"/>
        <v>cr</v>
      </c>
      <c r="G241" s="420" t="s">
        <v>721</v>
      </c>
      <c r="H241" s="420" t="s">
        <v>203</v>
      </c>
      <c r="I241" s="420" t="s">
        <v>722</v>
      </c>
      <c r="K241" s="421">
        <f t="shared" si="19"/>
        <v>2200</v>
      </c>
      <c r="M241" s="421">
        <v>2200</v>
      </c>
    </row>
    <row r="242" spans="1:16" x14ac:dyDescent="0.3">
      <c r="A242" s="420">
        <v>2</v>
      </c>
      <c r="C242" s="420">
        <f t="shared" si="15"/>
        <v>41</v>
      </c>
      <c r="D242" s="420">
        <f t="shared" si="16"/>
        <v>38</v>
      </c>
      <c r="E242" s="420">
        <f t="shared" si="17"/>
        <v>15</v>
      </c>
      <c r="F242" s="420" t="str">
        <f t="shared" si="18"/>
        <v>fl</v>
      </c>
      <c r="G242" s="420" t="s">
        <v>723</v>
      </c>
      <c r="H242" s="420" t="s">
        <v>724</v>
      </c>
      <c r="I242" s="420" t="s">
        <v>725</v>
      </c>
      <c r="K242" s="421">
        <f t="shared" si="19"/>
        <v>2200</v>
      </c>
      <c r="M242" s="421">
        <v>2200</v>
      </c>
    </row>
    <row r="243" spans="1:16" x14ac:dyDescent="0.3">
      <c r="A243" s="420">
        <v>3</v>
      </c>
      <c r="C243" s="420">
        <f t="shared" si="15"/>
        <v>42</v>
      </c>
      <c r="D243" s="420">
        <f t="shared" si="16"/>
        <v>42</v>
      </c>
      <c r="E243" s="420">
        <f t="shared" si="17"/>
        <v>15</v>
      </c>
      <c r="F243" s="420" t="str">
        <f t="shared" si="18"/>
        <v>pm</v>
      </c>
      <c r="G243" s="420" t="s">
        <v>726</v>
      </c>
      <c r="H243" s="420" t="s">
        <v>727</v>
      </c>
      <c r="I243" s="420" t="s">
        <v>728</v>
      </c>
      <c r="K243" s="421">
        <f t="shared" si="19"/>
        <v>2098.3727680075549</v>
      </c>
      <c r="M243" s="421">
        <v>2133.3333333333335</v>
      </c>
      <c r="O243" s="420">
        <v>2098.3727680075549</v>
      </c>
    </row>
    <row r="244" spans="1:16" x14ac:dyDescent="0.3">
      <c r="A244" s="420">
        <v>4</v>
      </c>
      <c r="C244" s="420">
        <f t="shared" si="15"/>
        <v>43</v>
      </c>
      <c r="D244" s="420">
        <f t="shared" si="16"/>
        <v>43</v>
      </c>
      <c r="E244" s="420">
        <f t="shared" si="17"/>
        <v>15</v>
      </c>
      <c r="F244" s="420" t="str">
        <f t="shared" si="18"/>
        <v>pm</v>
      </c>
      <c r="G244" s="420" t="s">
        <v>729</v>
      </c>
      <c r="H244" s="420" t="s">
        <v>318</v>
      </c>
      <c r="I244" s="420" t="s">
        <v>730</v>
      </c>
      <c r="K244" s="421">
        <f t="shared" si="19"/>
        <v>2181.9666302120004</v>
      </c>
      <c r="M244" s="421">
        <v>2100</v>
      </c>
      <c r="N244" s="420">
        <v>2157.5785645731467</v>
      </c>
      <c r="P244" s="420">
        <v>2181.9666302120004</v>
      </c>
    </row>
    <row r="245" spans="1:16" x14ac:dyDescent="0.3">
      <c r="A245" s="420">
        <v>5</v>
      </c>
      <c r="C245" s="420">
        <f t="shared" si="15"/>
        <v>44</v>
      </c>
      <c r="D245" s="420">
        <f t="shared" si="16"/>
        <v>44</v>
      </c>
      <c r="E245" s="420">
        <f t="shared" si="17"/>
        <v>15</v>
      </c>
      <c r="F245" s="420" t="str">
        <f t="shared" si="18"/>
        <v>pm</v>
      </c>
      <c r="G245" s="420" t="s">
        <v>731</v>
      </c>
      <c r="H245" s="420" t="s">
        <v>305</v>
      </c>
      <c r="I245" s="420" t="s">
        <v>732</v>
      </c>
      <c r="K245" s="421">
        <f t="shared" si="19"/>
        <v>2069.0723637688607</v>
      </c>
      <c r="M245" s="421">
        <v>2080</v>
      </c>
      <c r="N245" s="420">
        <v>2069.0723637688607</v>
      </c>
    </row>
    <row r="246" spans="1:16" x14ac:dyDescent="0.3">
      <c r="A246" s="420">
        <v>1</v>
      </c>
      <c r="C246" s="420">
        <f t="shared" si="15"/>
        <v>45</v>
      </c>
      <c r="D246" s="420">
        <f t="shared" si="16"/>
        <v>45</v>
      </c>
      <c r="E246" s="420">
        <f t="shared" si="17"/>
        <v>15</v>
      </c>
      <c r="F246" s="420" t="str">
        <f t="shared" si="18"/>
        <v>pmx</v>
      </c>
      <c r="G246" s="420" t="s">
        <v>733</v>
      </c>
      <c r="H246" s="420" t="s">
        <v>237</v>
      </c>
      <c r="I246" s="420" t="s">
        <v>734</v>
      </c>
      <c r="K246" s="421">
        <f t="shared" si="19"/>
        <v>2000</v>
      </c>
      <c r="M246" s="421">
        <v>2000</v>
      </c>
    </row>
    <row r="247" spans="1:16" x14ac:dyDescent="0.3">
      <c r="A247" s="420">
        <v>3</v>
      </c>
      <c r="C247" s="420">
        <f t="shared" si="15"/>
        <v>46</v>
      </c>
      <c r="D247" s="420">
        <f t="shared" si="16"/>
        <v>46</v>
      </c>
      <c r="E247" s="420">
        <f t="shared" si="17"/>
        <v>15</v>
      </c>
      <c r="F247" s="420" t="str">
        <f t="shared" si="18"/>
        <v>pm</v>
      </c>
      <c r="G247" s="420" t="s">
        <v>735</v>
      </c>
      <c r="H247" s="420" t="s">
        <v>243</v>
      </c>
      <c r="I247" s="420" t="s">
        <v>736</v>
      </c>
      <c r="K247" s="421">
        <f t="shared" si="19"/>
        <v>1985.8911223651464</v>
      </c>
      <c r="M247" s="421">
        <v>2000</v>
      </c>
      <c r="N247" s="420">
        <v>1985.8911223651464</v>
      </c>
    </row>
    <row r="248" spans="1:16" x14ac:dyDescent="0.3">
      <c r="A248" s="420">
        <v>3</v>
      </c>
      <c r="C248" s="420">
        <f t="shared" si="15"/>
        <v>47</v>
      </c>
      <c r="D248" s="420">
        <f t="shared" si="16"/>
        <v>47</v>
      </c>
      <c r="E248" s="420">
        <f t="shared" si="17"/>
        <v>15</v>
      </c>
      <c r="F248" s="420" t="str">
        <f t="shared" si="18"/>
        <v>pm</v>
      </c>
      <c r="G248" s="420" t="s">
        <v>737</v>
      </c>
      <c r="H248" s="420" t="s">
        <v>243</v>
      </c>
      <c r="I248" s="420" t="s">
        <v>738</v>
      </c>
      <c r="K248" s="421">
        <f t="shared" si="19"/>
        <v>2014.0023386288276</v>
      </c>
      <c r="M248" s="421">
        <v>2000</v>
      </c>
      <c r="N248" s="420">
        <v>2014.0023386288276</v>
      </c>
    </row>
    <row r="249" spans="1:16" x14ac:dyDescent="0.3">
      <c r="A249" s="420">
        <v>3</v>
      </c>
      <c r="C249" s="420">
        <f t="shared" si="15"/>
        <v>48</v>
      </c>
      <c r="D249" s="420">
        <f t="shared" si="16"/>
        <v>48</v>
      </c>
      <c r="E249" s="420">
        <f t="shared" si="17"/>
        <v>15</v>
      </c>
      <c r="F249" s="420" t="str">
        <f t="shared" si="18"/>
        <v>pm</v>
      </c>
      <c r="G249" s="420" t="s">
        <v>739</v>
      </c>
      <c r="H249" s="420" t="s">
        <v>250</v>
      </c>
      <c r="I249" s="420" t="s">
        <v>740</v>
      </c>
      <c r="K249" s="421">
        <f t="shared" si="19"/>
        <v>2049.5374066277782</v>
      </c>
      <c r="M249" s="421">
        <v>2000</v>
      </c>
      <c r="N249" s="420">
        <v>2049.5374066277782</v>
      </c>
    </row>
    <row r="250" spans="1:16" x14ac:dyDescent="0.3">
      <c r="A250" s="420">
        <v>2</v>
      </c>
      <c r="C250" s="420">
        <f t="shared" si="15"/>
        <v>49</v>
      </c>
      <c r="D250" s="420">
        <f t="shared" si="16"/>
        <v>49</v>
      </c>
      <c r="E250" s="420">
        <f t="shared" si="17"/>
        <v>15</v>
      </c>
      <c r="F250" s="420" t="str">
        <f t="shared" si="18"/>
        <v>pm</v>
      </c>
      <c r="G250" s="420" t="s">
        <v>741</v>
      </c>
      <c r="H250" s="420" t="s">
        <v>742</v>
      </c>
      <c r="I250" s="420" t="s">
        <v>743</v>
      </c>
      <c r="K250" s="421">
        <f t="shared" si="19"/>
        <v>2064.8623824177516</v>
      </c>
      <c r="M250" s="421">
        <v>2000</v>
      </c>
      <c r="N250" s="420">
        <v>2064.8623824177516</v>
      </c>
    </row>
    <row r="251" spans="1:16" x14ac:dyDescent="0.3">
      <c r="A251" s="420">
        <v>7</v>
      </c>
      <c r="C251" s="420">
        <f t="shared" si="15"/>
        <v>50</v>
      </c>
      <c r="D251" s="420">
        <f t="shared" si="16"/>
        <v>50</v>
      </c>
      <c r="E251" s="420">
        <f t="shared" si="17"/>
        <v>15</v>
      </c>
      <c r="F251" s="420" t="str">
        <f t="shared" si="18"/>
        <v>pm</v>
      </c>
      <c r="G251" s="420" t="s">
        <v>744</v>
      </c>
      <c r="H251" s="420" t="s">
        <v>261</v>
      </c>
      <c r="I251" s="420" t="s">
        <v>745</v>
      </c>
      <c r="K251" s="421">
        <f t="shared" si="19"/>
        <v>1912.5278512157745</v>
      </c>
      <c r="M251" s="421">
        <v>2000</v>
      </c>
      <c r="N251" s="420">
        <v>1891.2531382656648</v>
      </c>
      <c r="P251" s="420">
        <v>1912.5278512157745</v>
      </c>
    </row>
    <row r="252" spans="1:16" x14ac:dyDescent="0.3">
      <c r="A252" s="420">
        <v>6</v>
      </c>
      <c r="C252" s="420">
        <f t="shared" si="15"/>
        <v>51</v>
      </c>
      <c r="D252" s="420">
        <f t="shared" si="16"/>
        <v>51</v>
      </c>
      <c r="E252" s="420">
        <f t="shared" si="17"/>
        <v>15</v>
      </c>
      <c r="F252" s="420" t="str">
        <f t="shared" si="18"/>
        <v>pm</v>
      </c>
      <c r="G252" s="420" t="s">
        <v>746</v>
      </c>
      <c r="H252" s="420" t="s">
        <v>224</v>
      </c>
      <c r="I252" s="420" t="s">
        <v>747</v>
      </c>
      <c r="K252" s="421">
        <f t="shared" si="19"/>
        <v>1907.0602982216196</v>
      </c>
      <c r="M252" s="421">
        <v>2000</v>
      </c>
      <c r="P252" s="420">
        <v>1907.0602982216196</v>
      </c>
    </row>
    <row r="253" spans="1:16" x14ac:dyDescent="0.3">
      <c r="A253" s="420">
        <v>3</v>
      </c>
      <c r="C253" s="420">
        <f t="shared" si="15"/>
        <v>52</v>
      </c>
      <c r="D253" s="420">
        <f t="shared" si="16"/>
        <v>52</v>
      </c>
      <c r="E253" s="420">
        <f t="shared" si="17"/>
        <v>15</v>
      </c>
      <c r="F253" s="420" t="str">
        <f t="shared" si="18"/>
        <v>pm</v>
      </c>
      <c r="G253" s="420" t="s">
        <v>748</v>
      </c>
      <c r="H253" s="420" t="s">
        <v>328</v>
      </c>
      <c r="I253" s="420" t="s">
        <v>749</v>
      </c>
      <c r="K253" s="421">
        <f t="shared" si="19"/>
        <v>2000</v>
      </c>
      <c r="M253" s="421">
        <v>2000</v>
      </c>
    </row>
    <row r="254" spans="1:16" x14ac:dyDescent="0.3">
      <c r="A254" s="420">
        <v>4</v>
      </c>
      <c r="C254" s="420">
        <f t="shared" si="15"/>
        <v>53</v>
      </c>
      <c r="D254" s="420">
        <f t="shared" si="16"/>
        <v>53</v>
      </c>
      <c r="E254" s="420">
        <f t="shared" si="17"/>
        <v>15</v>
      </c>
      <c r="F254" s="420" t="str">
        <f t="shared" si="18"/>
        <v>pm</v>
      </c>
      <c r="G254" s="420" t="s">
        <v>750</v>
      </c>
      <c r="H254" s="420" t="s">
        <v>751</v>
      </c>
      <c r="I254" s="420" t="s">
        <v>752</v>
      </c>
      <c r="K254" s="421">
        <f t="shared" si="19"/>
        <v>2100.4547618272268</v>
      </c>
      <c r="M254" s="421">
        <v>2000</v>
      </c>
      <c r="P254" s="420">
        <v>2100.4547618272268</v>
      </c>
    </row>
    <row r="255" spans="1:16" x14ac:dyDescent="0.3">
      <c r="A255" s="420">
        <v>5</v>
      </c>
      <c r="C255" s="420">
        <f t="shared" si="15"/>
        <v>54</v>
      </c>
      <c r="D255" s="420">
        <f t="shared" si="16"/>
        <v>54</v>
      </c>
      <c r="E255" s="420">
        <f t="shared" si="17"/>
        <v>15</v>
      </c>
      <c r="F255" s="420" t="str">
        <f t="shared" si="18"/>
        <v>pm</v>
      </c>
      <c r="G255" s="420" t="s">
        <v>753</v>
      </c>
      <c r="H255" s="420" t="s">
        <v>331</v>
      </c>
      <c r="I255" s="420" t="s">
        <v>754</v>
      </c>
      <c r="K255" s="421">
        <f t="shared" si="19"/>
        <v>1878.0185952211898</v>
      </c>
      <c r="M255" s="421">
        <v>2000</v>
      </c>
      <c r="P255" s="420">
        <v>1878.0185952211898</v>
      </c>
    </row>
    <row r="256" spans="1:16" x14ac:dyDescent="0.3">
      <c r="A256" s="420">
        <v>3</v>
      </c>
      <c r="C256" s="420">
        <f t="shared" si="15"/>
        <v>55</v>
      </c>
      <c r="D256" s="420">
        <f t="shared" si="16"/>
        <v>55</v>
      </c>
      <c r="E256" s="420">
        <f t="shared" si="17"/>
        <v>15</v>
      </c>
      <c r="F256" s="420" t="str">
        <f t="shared" si="18"/>
        <v>pm</v>
      </c>
      <c r="G256" s="420" t="s">
        <v>755</v>
      </c>
      <c r="H256" s="420" t="s">
        <v>331</v>
      </c>
      <c r="I256" s="420" t="s">
        <v>756</v>
      </c>
      <c r="K256" s="421">
        <f t="shared" si="19"/>
        <v>1972.3799548425379</v>
      </c>
      <c r="M256" s="421">
        <v>2000</v>
      </c>
      <c r="P256" s="420">
        <v>1972.3799548425379</v>
      </c>
    </row>
    <row r="257" spans="1:16" x14ac:dyDescent="0.3">
      <c r="A257" s="420">
        <v>6</v>
      </c>
      <c r="C257" s="420">
        <f t="shared" si="15"/>
        <v>56</v>
      </c>
      <c r="D257" s="420">
        <f t="shared" si="16"/>
        <v>56</v>
      </c>
      <c r="E257" s="420">
        <f t="shared" si="17"/>
        <v>15</v>
      </c>
      <c r="F257" s="420" t="str">
        <f t="shared" si="18"/>
        <v>pm</v>
      </c>
      <c r="G257" s="420" t="s">
        <v>757</v>
      </c>
      <c r="H257" s="420" t="s">
        <v>758</v>
      </c>
      <c r="I257" s="420" t="s">
        <v>759</v>
      </c>
      <c r="K257" s="421">
        <f t="shared" si="19"/>
        <v>1882.5235226783811</v>
      </c>
      <c r="M257" s="421">
        <v>2000</v>
      </c>
      <c r="N257" s="420">
        <v>1949.0271934580555</v>
      </c>
      <c r="P257" s="420">
        <v>1882.5235226783811</v>
      </c>
    </row>
    <row r="258" spans="1:16" x14ac:dyDescent="0.3">
      <c r="A258" s="420">
        <v>5</v>
      </c>
      <c r="C258" s="420">
        <f t="shared" ref="C258:C321" si="20">IF(E258=E257,C257+1,1)</f>
        <v>57</v>
      </c>
      <c r="D258" s="420">
        <f t="shared" ref="D258:D321" si="21">IF(K258=K257,D257,C258)</f>
        <v>57</v>
      </c>
      <c r="E258" s="420">
        <f t="shared" ref="E258:E321" si="22">10+VALUE(RIGHT(LEFT(G258,3),1))</f>
        <v>15</v>
      </c>
      <c r="F258" s="420" t="str">
        <f t="shared" ref="F258:F321" si="23">RIGHT(G258,2) &amp; IF(A258&lt;2,"x","")</f>
        <v>pm</v>
      </c>
      <c r="G258" s="420" t="s">
        <v>760</v>
      </c>
      <c r="H258" s="420" t="s">
        <v>761</v>
      </c>
      <c r="I258" s="420" t="s">
        <v>762</v>
      </c>
      <c r="K258" s="421">
        <f t="shared" ref="K258:K321" si="24">LOOKUP(1E+100,M258:AB258)</f>
        <v>1916.4170326361775</v>
      </c>
      <c r="M258" s="421">
        <v>2000</v>
      </c>
      <c r="N258" s="420">
        <v>1916.4170326361775</v>
      </c>
    </row>
    <row r="259" spans="1:16" x14ac:dyDescent="0.3">
      <c r="A259" s="420">
        <v>6</v>
      </c>
      <c r="C259" s="420">
        <f t="shared" si="20"/>
        <v>58</v>
      </c>
      <c r="D259" s="420">
        <f t="shared" si="21"/>
        <v>58</v>
      </c>
      <c r="E259" s="420">
        <f t="shared" si="22"/>
        <v>15</v>
      </c>
      <c r="F259" s="420" t="str">
        <f t="shared" si="23"/>
        <v>pm</v>
      </c>
      <c r="G259" s="420" t="s">
        <v>763</v>
      </c>
      <c r="H259" s="420" t="s">
        <v>288</v>
      </c>
      <c r="I259" s="420" t="s">
        <v>764</v>
      </c>
      <c r="K259" s="421">
        <f t="shared" si="24"/>
        <v>1971.8032083037831</v>
      </c>
      <c r="M259" s="421">
        <v>2000</v>
      </c>
      <c r="P259" s="420">
        <v>1971.8032083037831</v>
      </c>
    </row>
    <row r="260" spans="1:16" x14ac:dyDescent="0.3">
      <c r="A260" s="420">
        <v>6</v>
      </c>
      <c r="C260" s="420">
        <f t="shared" si="20"/>
        <v>59</v>
      </c>
      <c r="D260" s="420">
        <f t="shared" si="21"/>
        <v>59</v>
      </c>
      <c r="E260" s="420">
        <f t="shared" si="22"/>
        <v>15</v>
      </c>
      <c r="F260" s="420" t="str">
        <f t="shared" si="23"/>
        <v>pm</v>
      </c>
      <c r="G260" s="420" t="s">
        <v>765</v>
      </c>
      <c r="H260" s="420" t="s">
        <v>334</v>
      </c>
      <c r="I260" s="420" t="s">
        <v>766</v>
      </c>
      <c r="K260" s="421">
        <f t="shared" si="24"/>
        <v>2029.7452003979715</v>
      </c>
      <c r="M260" s="421">
        <v>2000</v>
      </c>
      <c r="N260" s="420">
        <v>1927.6957131566237</v>
      </c>
      <c r="P260" s="420">
        <v>2029.7452003979715</v>
      </c>
    </row>
    <row r="261" spans="1:16" x14ac:dyDescent="0.3">
      <c r="A261" s="420">
        <v>2</v>
      </c>
      <c r="C261" s="420">
        <f t="shared" si="20"/>
        <v>60</v>
      </c>
      <c r="D261" s="420">
        <f t="shared" si="21"/>
        <v>60</v>
      </c>
      <c r="E261" s="420">
        <f t="shared" si="22"/>
        <v>15</v>
      </c>
      <c r="F261" s="420" t="str">
        <f t="shared" si="23"/>
        <v>cr</v>
      </c>
      <c r="G261" s="420" t="s">
        <v>767</v>
      </c>
      <c r="H261" s="420" t="s">
        <v>203</v>
      </c>
      <c r="I261" s="420" t="s">
        <v>768</v>
      </c>
      <c r="K261" s="421">
        <f t="shared" si="24"/>
        <v>2000</v>
      </c>
      <c r="M261" s="421">
        <v>2000</v>
      </c>
    </row>
    <row r="262" spans="1:16" x14ac:dyDescent="0.3">
      <c r="A262" s="420">
        <v>1</v>
      </c>
      <c r="C262" s="420">
        <f t="shared" si="20"/>
        <v>61</v>
      </c>
      <c r="D262" s="420">
        <f t="shared" si="21"/>
        <v>61</v>
      </c>
      <c r="E262" s="420">
        <f t="shared" si="22"/>
        <v>15</v>
      </c>
      <c r="F262" s="420" t="str">
        <f t="shared" si="23"/>
        <v>crx</v>
      </c>
      <c r="G262" s="420" t="s">
        <v>769</v>
      </c>
      <c r="H262" s="420" t="s">
        <v>770</v>
      </c>
      <c r="I262" s="420" t="s">
        <v>771</v>
      </c>
      <c r="K262" s="421">
        <f t="shared" si="24"/>
        <v>2016.3722143025891</v>
      </c>
      <c r="M262" s="421">
        <v>2000</v>
      </c>
      <c r="N262" s="420">
        <v>2016.3722143025891</v>
      </c>
    </row>
    <row r="263" spans="1:16" x14ac:dyDescent="0.3">
      <c r="A263" s="420">
        <v>3</v>
      </c>
      <c r="C263" s="420">
        <f t="shared" si="20"/>
        <v>62</v>
      </c>
      <c r="D263" s="420">
        <f t="shared" si="21"/>
        <v>62</v>
      </c>
      <c r="E263" s="420">
        <f t="shared" si="22"/>
        <v>15</v>
      </c>
      <c r="F263" s="420" t="str">
        <f t="shared" si="23"/>
        <v>cr</v>
      </c>
      <c r="G263" s="420" t="s">
        <v>772</v>
      </c>
      <c r="H263" s="420" t="s">
        <v>448</v>
      </c>
      <c r="I263" s="420" t="s">
        <v>773</v>
      </c>
      <c r="K263" s="421">
        <f t="shared" si="24"/>
        <v>2000</v>
      </c>
      <c r="M263" s="421">
        <v>2000</v>
      </c>
    </row>
    <row r="264" spans="1:16" x14ac:dyDescent="0.3">
      <c r="A264" s="420">
        <v>1</v>
      </c>
      <c r="C264" s="420">
        <f t="shared" si="20"/>
        <v>1</v>
      </c>
      <c r="D264" s="420">
        <f t="shared" si="21"/>
        <v>1</v>
      </c>
      <c r="E264" s="420">
        <f t="shared" si="22"/>
        <v>16</v>
      </c>
      <c r="F264" s="420" t="str">
        <f t="shared" si="23"/>
        <v>pmx</v>
      </c>
      <c r="G264" s="420" t="s">
        <v>774</v>
      </c>
      <c r="H264" s="420" t="s">
        <v>206</v>
      </c>
      <c r="I264" s="420" t="s">
        <v>775</v>
      </c>
      <c r="K264" s="421">
        <f t="shared" si="24"/>
        <v>2600</v>
      </c>
      <c r="M264" s="421">
        <v>2600</v>
      </c>
    </row>
    <row r="265" spans="1:16" x14ac:dyDescent="0.3">
      <c r="A265" s="420">
        <v>2</v>
      </c>
      <c r="C265" s="420">
        <f t="shared" si="20"/>
        <v>2</v>
      </c>
      <c r="D265" s="420">
        <f t="shared" si="21"/>
        <v>2</v>
      </c>
      <c r="E265" s="420">
        <f t="shared" si="22"/>
        <v>16</v>
      </c>
      <c r="F265" s="420" t="str">
        <f t="shared" si="23"/>
        <v>pm</v>
      </c>
      <c r="G265" s="420" t="s">
        <v>776</v>
      </c>
      <c r="H265" s="420" t="s">
        <v>243</v>
      </c>
      <c r="I265" s="420" t="s">
        <v>777</v>
      </c>
      <c r="K265" s="421">
        <f t="shared" si="24"/>
        <v>2580.3648746748836</v>
      </c>
      <c r="M265" s="421">
        <v>2600</v>
      </c>
      <c r="P265" s="420">
        <v>2580.3648746748836</v>
      </c>
    </row>
    <row r="266" spans="1:16" x14ac:dyDescent="0.3">
      <c r="A266" s="420">
        <v>3</v>
      </c>
      <c r="C266" s="420">
        <f t="shared" si="20"/>
        <v>3</v>
      </c>
      <c r="D266" s="420">
        <f t="shared" si="21"/>
        <v>3</v>
      </c>
      <c r="E266" s="420">
        <f t="shared" si="22"/>
        <v>16</v>
      </c>
      <c r="F266" s="420" t="str">
        <f t="shared" si="23"/>
        <v>pm</v>
      </c>
      <c r="G266" s="420" t="s">
        <v>778</v>
      </c>
      <c r="H266" s="420" t="s">
        <v>256</v>
      </c>
      <c r="I266" s="420" t="s">
        <v>779</v>
      </c>
      <c r="K266" s="421">
        <f t="shared" si="24"/>
        <v>2567.1046561128701</v>
      </c>
      <c r="M266" s="421">
        <v>2600</v>
      </c>
      <c r="O266" s="420">
        <v>2672.5298221415514</v>
      </c>
      <c r="P266" s="420">
        <v>2567.1046561128701</v>
      </c>
    </row>
    <row r="267" spans="1:16" x14ac:dyDescent="0.3">
      <c r="A267" s="420">
        <v>5</v>
      </c>
      <c r="C267" s="420">
        <f t="shared" si="20"/>
        <v>4</v>
      </c>
      <c r="D267" s="420">
        <f t="shared" si="21"/>
        <v>4</v>
      </c>
      <c r="E267" s="420">
        <f t="shared" si="22"/>
        <v>16</v>
      </c>
      <c r="F267" s="420" t="str">
        <f t="shared" si="23"/>
        <v>pm</v>
      </c>
      <c r="G267" s="420" t="s">
        <v>780</v>
      </c>
      <c r="H267" s="420" t="s">
        <v>261</v>
      </c>
      <c r="I267" s="420" t="s">
        <v>781</v>
      </c>
      <c r="K267" s="421">
        <f t="shared" si="24"/>
        <v>2659.5481757882421</v>
      </c>
      <c r="M267" s="421">
        <v>2600</v>
      </c>
      <c r="P267" s="420">
        <v>2659.5481757882421</v>
      </c>
    </row>
    <row r="268" spans="1:16" x14ac:dyDescent="0.3">
      <c r="A268" s="420">
        <v>6</v>
      </c>
      <c r="C268" s="420">
        <f t="shared" si="20"/>
        <v>5</v>
      </c>
      <c r="D268" s="420">
        <f t="shared" si="21"/>
        <v>5</v>
      </c>
      <c r="E268" s="420">
        <f t="shared" si="22"/>
        <v>16</v>
      </c>
      <c r="F268" s="420" t="str">
        <f t="shared" si="23"/>
        <v>pm</v>
      </c>
      <c r="G268" s="420" t="s">
        <v>782</v>
      </c>
      <c r="H268" s="420" t="s">
        <v>261</v>
      </c>
      <c r="I268" s="420" t="s">
        <v>783</v>
      </c>
      <c r="K268" s="421">
        <f t="shared" si="24"/>
        <v>2447.7127781169233</v>
      </c>
      <c r="M268" s="421">
        <v>2600</v>
      </c>
      <c r="O268" s="420">
        <v>2576.6911553687651</v>
      </c>
      <c r="P268" s="420">
        <v>2447.7127781169233</v>
      </c>
    </row>
    <row r="269" spans="1:16" x14ac:dyDescent="0.3">
      <c r="A269" s="420">
        <v>3</v>
      </c>
      <c r="C269" s="420">
        <f t="shared" si="20"/>
        <v>6</v>
      </c>
      <c r="D269" s="420">
        <f t="shared" si="21"/>
        <v>6</v>
      </c>
      <c r="E269" s="420">
        <f t="shared" si="22"/>
        <v>16</v>
      </c>
      <c r="F269" s="420" t="str">
        <f t="shared" si="23"/>
        <v>pm</v>
      </c>
      <c r="G269" s="420" t="s">
        <v>784</v>
      </c>
      <c r="H269" s="420" t="s">
        <v>318</v>
      </c>
      <c r="I269" s="420" t="s">
        <v>785</v>
      </c>
      <c r="K269" s="421">
        <f t="shared" si="24"/>
        <v>2757.3384734737615</v>
      </c>
      <c r="M269" s="421">
        <v>2600</v>
      </c>
      <c r="N269" s="420">
        <v>2722.9696572781031</v>
      </c>
      <c r="P269" s="420">
        <v>2757.3384734737615</v>
      </c>
    </row>
    <row r="270" spans="1:16" x14ac:dyDescent="0.3">
      <c r="A270" s="420">
        <v>1</v>
      </c>
      <c r="C270" s="420">
        <f t="shared" si="20"/>
        <v>7</v>
      </c>
      <c r="D270" s="420">
        <f t="shared" si="21"/>
        <v>7</v>
      </c>
      <c r="E270" s="420">
        <f t="shared" si="22"/>
        <v>16</v>
      </c>
      <c r="F270" s="420" t="str">
        <f t="shared" si="23"/>
        <v>pmx</v>
      </c>
      <c r="G270" s="420" t="s">
        <v>786</v>
      </c>
      <c r="H270" s="420" t="s">
        <v>270</v>
      </c>
      <c r="I270" s="420" t="s">
        <v>787</v>
      </c>
      <c r="K270" s="421">
        <f t="shared" si="24"/>
        <v>2600</v>
      </c>
      <c r="M270" s="421">
        <v>2600</v>
      </c>
    </row>
    <row r="271" spans="1:16" x14ac:dyDescent="0.3">
      <c r="A271" s="420">
        <v>7</v>
      </c>
      <c r="C271" s="420">
        <f t="shared" si="20"/>
        <v>8</v>
      </c>
      <c r="D271" s="420">
        <f t="shared" si="21"/>
        <v>8</v>
      </c>
      <c r="E271" s="420">
        <f t="shared" si="22"/>
        <v>16</v>
      </c>
      <c r="F271" s="420" t="str">
        <f t="shared" si="23"/>
        <v>pm</v>
      </c>
      <c r="G271" s="420" t="s">
        <v>788</v>
      </c>
      <c r="H271" s="420" t="s">
        <v>416</v>
      </c>
      <c r="I271" s="420" t="s">
        <v>789</v>
      </c>
      <c r="K271" s="421">
        <f t="shared" si="24"/>
        <v>2358.4875528013863</v>
      </c>
      <c r="M271" s="421">
        <v>2600</v>
      </c>
      <c r="O271" s="420">
        <v>2472.9439059976125</v>
      </c>
      <c r="P271" s="420">
        <v>2358.4875528013863</v>
      </c>
    </row>
    <row r="272" spans="1:16" x14ac:dyDescent="0.3">
      <c r="A272" s="420">
        <v>3</v>
      </c>
      <c r="C272" s="420">
        <f t="shared" si="20"/>
        <v>9</v>
      </c>
      <c r="D272" s="420">
        <f t="shared" si="21"/>
        <v>9</v>
      </c>
      <c r="E272" s="420">
        <f t="shared" si="22"/>
        <v>16</v>
      </c>
      <c r="F272" s="420" t="str">
        <f t="shared" si="23"/>
        <v>pm</v>
      </c>
      <c r="G272" s="420" t="s">
        <v>790</v>
      </c>
      <c r="H272" s="420" t="s">
        <v>224</v>
      </c>
      <c r="I272" s="420" t="s">
        <v>791</v>
      </c>
      <c r="K272" s="421">
        <f t="shared" si="24"/>
        <v>2600</v>
      </c>
      <c r="M272" s="421">
        <v>2600</v>
      </c>
    </row>
    <row r="273" spans="1:16" x14ac:dyDescent="0.3">
      <c r="A273" s="420">
        <v>2</v>
      </c>
      <c r="C273" s="420">
        <f t="shared" si="20"/>
        <v>10</v>
      </c>
      <c r="D273" s="420">
        <f t="shared" si="21"/>
        <v>10</v>
      </c>
      <c r="E273" s="420">
        <f t="shared" si="22"/>
        <v>16</v>
      </c>
      <c r="F273" s="420" t="str">
        <f t="shared" si="23"/>
        <v>pm</v>
      </c>
      <c r="G273" s="420" t="s">
        <v>792</v>
      </c>
      <c r="H273" s="420" t="s">
        <v>328</v>
      </c>
      <c r="I273" s="420" t="s">
        <v>793</v>
      </c>
      <c r="K273" s="421">
        <f t="shared" si="24"/>
        <v>2705.5892446180078</v>
      </c>
      <c r="M273" s="421">
        <v>2600</v>
      </c>
      <c r="O273" s="420">
        <v>2705.5892446180078</v>
      </c>
    </row>
    <row r="274" spans="1:16" x14ac:dyDescent="0.3">
      <c r="A274" s="420">
        <v>7</v>
      </c>
      <c r="C274" s="420">
        <f t="shared" si="20"/>
        <v>11</v>
      </c>
      <c r="D274" s="420">
        <f t="shared" si="21"/>
        <v>11</v>
      </c>
      <c r="E274" s="420">
        <f t="shared" si="22"/>
        <v>16</v>
      </c>
      <c r="F274" s="420" t="str">
        <f t="shared" si="23"/>
        <v>pm</v>
      </c>
      <c r="G274" s="420" t="s">
        <v>794</v>
      </c>
      <c r="H274" s="420" t="s">
        <v>278</v>
      </c>
      <c r="I274" s="420" t="s">
        <v>795</v>
      </c>
      <c r="K274" s="421">
        <f t="shared" si="24"/>
        <v>2553.0896955519429</v>
      </c>
      <c r="M274" s="421">
        <v>2600</v>
      </c>
      <c r="O274" s="420">
        <v>2593.0976126550672</v>
      </c>
      <c r="P274" s="420">
        <v>2553.0896955519429</v>
      </c>
    </row>
    <row r="275" spans="1:16" x14ac:dyDescent="0.3">
      <c r="A275" s="420">
        <v>2</v>
      </c>
      <c r="C275" s="420">
        <f t="shared" si="20"/>
        <v>12</v>
      </c>
      <c r="D275" s="420">
        <f t="shared" si="21"/>
        <v>12</v>
      </c>
      <c r="E275" s="420">
        <f t="shared" si="22"/>
        <v>16</v>
      </c>
      <c r="F275" s="420" t="str">
        <f t="shared" si="23"/>
        <v>pm</v>
      </c>
      <c r="G275" s="420" t="s">
        <v>796</v>
      </c>
      <c r="H275" s="420" t="s">
        <v>349</v>
      </c>
      <c r="I275" s="420" t="s">
        <v>797</v>
      </c>
      <c r="K275" s="421">
        <f t="shared" si="24"/>
        <v>2600</v>
      </c>
      <c r="M275" s="421">
        <v>2600</v>
      </c>
    </row>
    <row r="276" spans="1:16" x14ac:dyDescent="0.3">
      <c r="A276" s="420">
        <v>1</v>
      </c>
      <c r="C276" s="420">
        <f t="shared" si="20"/>
        <v>13</v>
      </c>
      <c r="D276" s="420">
        <f t="shared" si="21"/>
        <v>12</v>
      </c>
      <c r="E276" s="420">
        <f t="shared" si="22"/>
        <v>16</v>
      </c>
      <c r="F276" s="420" t="str">
        <f t="shared" si="23"/>
        <v>pmx</v>
      </c>
      <c r="G276" s="420" t="s">
        <v>798</v>
      </c>
      <c r="H276" s="420" t="s">
        <v>352</v>
      </c>
      <c r="I276" s="420" t="s">
        <v>799</v>
      </c>
      <c r="K276" s="421">
        <f t="shared" si="24"/>
        <v>2600</v>
      </c>
      <c r="M276" s="421">
        <v>2600</v>
      </c>
    </row>
    <row r="277" spans="1:16" x14ac:dyDescent="0.3">
      <c r="A277" s="420">
        <v>4</v>
      </c>
      <c r="C277" s="420">
        <f t="shared" si="20"/>
        <v>14</v>
      </c>
      <c r="D277" s="420">
        <f t="shared" si="21"/>
        <v>14</v>
      </c>
      <c r="E277" s="420">
        <f t="shared" si="22"/>
        <v>16</v>
      </c>
      <c r="F277" s="420" t="str">
        <f t="shared" si="23"/>
        <v>pm</v>
      </c>
      <c r="G277" s="420" t="s">
        <v>800</v>
      </c>
      <c r="H277" s="420" t="s">
        <v>801</v>
      </c>
      <c r="I277" s="420" t="s">
        <v>802</v>
      </c>
      <c r="K277" s="421">
        <f t="shared" si="24"/>
        <v>2563.6487837848899</v>
      </c>
      <c r="M277" s="421">
        <v>2600</v>
      </c>
      <c r="O277" s="420">
        <v>2563.6487837848899</v>
      </c>
    </row>
    <row r="278" spans="1:16" x14ac:dyDescent="0.3">
      <c r="A278" s="420">
        <v>5</v>
      </c>
      <c r="C278" s="420">
        <f t="shared" si="20"/>
        <v>15</v>
      </c>
      <c r="D278" s="420">
        <f t="shared" si="21"/>
        <v>15</v>
      </c>
      <c r="E278" s="420">
        <f t="shared" si="22"/>
        <v>16</v>
      </c>
      <c r="F278" s="420" t="str">
        <f t="shared" si="23"/>
        <v>pm</v>
      </c>
      <c r="G278" s="420" t="s">
        <v>803</v>
      </c>
      <c r="H278" s="420" t="s">
        <v>715</v>
      </c>
      <c r="I278" s="420" t="s">
        <v>804</v>
      </c>
      <c r="K278" s="421">
        <f t="shared" si="24"/>
        <v>2524.8183993026673</v>
      </c>
      <c r="M278" s="421">
        <v>2600</v>
      </c>
      <c r="P278" s="420">
        <v>2524.8183993026673</v>
      </c>
    </row>
    <row r="279" spans="1:16" x14ac:dyDescent="0.3">
      <c r="A279" s="420">
        <v>4</v>
      </c>
      <c r="C279" s="420">
        <f t="shared" si="20"/>
        <v>16</v>
      </c>
      <c r="D279" s="420">
        <f t="shared" si="21"/>
        <v>16</v>
      </c>
      <c r="E279" s="420">
        <f t="shared" si="22"/>
        <v>16</v>
      </c>
      <c r="F279" s="420" t="str">
        <f t="shared" si="23"/>
        <v>pm</v>
      </c>
      <c r="G279" s="420" t="s">
        <v>805</v>
      </c>
      <c r="H279" s="420" t="s">
        <v>215</v>
      </c>
      <c r="I279" s="420" t="s">
        <v>806</v>
      </c>
      <c r="K279" s="421">
        <f t="shared" si="24"/>
        <v>2503.9998422119766</v>
      </c>
      <c r="M279" s="421">
        <v>2600</v>
      </c>
      <c r="P279" s="420">
        <v>2503.9998422119766</v>
      </c>
    </row>
    <row r="280" spans="1:16" x14ac:dyDescent="0.3">
      <c r="A280" s="420">
        <v>2</v>
      </c>
      <c r="C280" s="420">
        <f t="shared" si="20"/>
        <v>17</v>
      </c>
      <c r="D280" s="420">
        <f t="shared" si="21"/>
        <v>17</v>
      </c>
      <c r="E280" s="420">
        <f t="shared" si="22"/>
        <v>16</v>
      </c>
      <c r="F280" s="420" t="str">
        <f t="shared" si="23"/>
        <v>pm</v>
      </c>
      <c r="G280" s="420" t="s">
        <v>807</v>
      </c>
      <c r="H280" s="420" t="s">
        <v>283</v>
      </c>
      <c r="I280" s="420" t="s">
        <v>808</v>
      </c>
      <c r="K280" s="421">
        <f t="shared" si="24"/>
        <v>2600</v>
      </c>
      <c r="M280" s="421">
        <v>2600</v>
      </c>
    </row>
    <row r="281" spans="1:16" x14ac:dyDescent="0.3">
      <c r="A281" s="420">
        <v>3</v>
      </c>
      <c r="C281" s="420">
        <f t="shared" si="20"/>
        <v>18</v>
      </c>
      <c r="D281" s="420">
        <f t="shared" si="21"/>
        <v>17</v>
      </c>
      <c r="E281" s="420">
        <f t="shared" si="22"/>
        <v>16</v>
      </c>
      <c r="F281" s="420" t="str">
        <f t="shared" si="23"/>
        <v>pm</v>
      </c>
      <c r="G281" s="420" t="s">
        <v>809</v>
      </c>
      <c r="H281" s="420" t="s">
        <v>288</v>
      </c>
      <c r="I281" s="420" t="s">
        <v>810</v>
      </c>
      <c r="K281" s="421">
        <f t="shared" si="24"/>
        <v>2600</v>
      </c>
      <c r="M281" s="421">
        <v>2600</v>
      </c>
    </row>
    <row r="282" spans="1:16" x14ac:dyDescent="0.3">
      <c r="A282" s="420">
        <v>5</v>
      </c>
      <c r="C282" s="420">
        <f t="shared" si="20"/>
        <v>19</v>
      </c>
      <c r="D282" s="420">
        <f t="shared" si="21"/>
        <v>19</v>
      </c>
      <c r="E282" s="420">
        <f t="shared" si="22"/>
        <v>16</v>
      </c>
      <c r="F282" s="420" t="str">
        <f t="shared" si="23"/>
        <v>pm</v>
      </c>
      <c r="G282" s="420" t="s">
        <v>811</v>
      </c>
      <c r="H282" s="420" t="s">
        <v>288</v>
      </c>
      <c r="I282" s="420" t="s">
        <v>812</v>
      </c>
      <c r="K282" s="421">
        <f t="shared" si="24"/>
        <v>2527.0281820476162</v>
      </c>
      <c r="M282" s="421">
        <v>2600</v>
      </c>
      <c r="O282" s="420">
        <v>2527.0281820476162</v>
      </c>
    </row>
    <row r="283" spans="1:16" x14ac:dyDescent="0.3">
      <c r="A283" s="420">
        <v>5</v>
      </c>
      <c r="C283" s="420">
        <f t="shared" si="20"/>
        <v>20</v>
      </c>
      <c r="D283" s="420">
        <f t="shared" si="21"/>
        <v>20</v>
      </c>
      <c r="E283" s="420">
        <f t="shared" si="22"/>
        <v>16</v>
      </c>
      <c r="F283" s="420" t="str">
        <f t="shared" si="23"/>
        <v>pm</v>
      </c>
      <c r="G283" s="420" t="s">
        <v>813</v>
      </c>
      <c r="H283" s="420" t="s">
        <v>288</v>
      </c>
      <c r="I283" s="420" t="s">
        <v>814</v>
      </c>
      <c r="K283" s="421">
        <f t="shared" si="24"/>
        <v>2506.0968226223522</v>
      </c>
      <c r="M283" s="421">
        <v>2600</v>
      </c>
      <c r="O283" s="420">
        <v>2506.0968226223522</v>
      </c>
    </row>
    <row r="284" spans="1:16" x14ac:dyDescent="0.3">
      <c r="A284" s="420">
        <v>1</v>
      </c>
      <c r="C284" s="420">
        <f t="shared" si="20"/>
        <v>21</v>
      </c>
      <c r="D284" s="420">
        <f t="shared" si="21"/>
        <v>21</v>
      </c>
      <c r="E284" s="420">
        <f t="shared" si="22"/>
        <v>16</v>
      </c>
      <c r="F284" s="420" t="str">
        <f t="shared" si="23"/>
        <v>pmx</v>
      </c>
      <c r="G284" s="420" t="s">
        <v>815</v>
      </c>
      <c r="H284" s="420" t="s">
        <v>218</v>
      </c>
      <c r="I284" s="420" t="s">
        <v>816</v>
      </c>
      <c r="K284" s="421">
        <f t="shared" si="24"/>
        <v>2600</v>
      </c>
      <c r="M284" s="421">
        <v>2600</v>
      </c>
    </row>
    <row r="285" spans="1:16" x14ac:dyDescent="0.3">
      <c r="A285" s="420">
        <v>2</v>
      </c>
      <c r="C285" s="420">
        <f t="shared" si="20"/>
        <v>22</v>
      </c>
      <c r="D285" s="420">
        <f t="shared" si="21"/>
        <v>22</v>
      </c>
      <c r="E285" s="420">
        <f t="shared" si="22"/>
        <v>16</v>
      </c>
      <c r="F285" s="420" t="str">
        <f t="shared" si="23"/>
        <v>pm</v>
      </c>
      <c r="G285" s="420" t="s">
        <v>817</v>
      </c>
      <c r="H285" s="420" t="s">
        <v>491</v>
      </c>
      <c r="I285" s="420" t="s">
        <v>818</v>
      </c>
      <c r="K285" s="421">
        <f t="shared" si="24"/>
        <v>2672.5719297904616</v>
      </c>
      <c r="M285" s="421">
        <v>2600</v>
      </c>
      <c r="P285" s="420">
        <v>2672.5719297904616</v>
      </c>
    </row>
    <row r="286" spans="1:16" x14ac:dyDescent="0.3">
      <c r="A286" s="420">
        <v>2</v>
      </c>
      <c r="C286" s="420">
        <f t="shared" si="20"/>
        <v>23</v>
      </c>
      <c r="D286" s="420">
        <f t="shared" si="21"/>
        <v>23</v>
      </c>
      <c r="E286" s="420">
        <f t="shared" si="22"/>
        <v>16</v>
      </c>
      <c r="F286" s="420" t="str">
        <f t="shared" si="23"/>
        <v>pm</v>
      </c>
      <c r="G286" s="420" t="s">
        <v>819</v>
      </c>
      <c r="H286" s="420" t="s">
        <v>491</v>
      </c>
      <c r="I286" s="420" t="s">
        <v>820</v>
      </c>
      <c r="K286" s="421">
        <f t="shared" si="24"/>
        <v>2575.1856509639724</v>
      </c>
      <c r="M286" s="421">
        <v>2600</v>
      </c>
      <c r="P286" s="420">
        <v>2575.1856509639724</v>
      </c>
    </row>
    <row r="287" spans="1:16" x14ac:dyDescent="0.3">
      <c r="A287" s="420">
        <v>3</v>
      </c>
      <c r="C287" s="420">
        <f t="shared" si="20"/>
        <v>24</v>
      </c>
      <c r="D287" s="420">
        <f t="shared" si="21"/>
        <v>24</v>
      </c>
      <c r="E287" s="420">
        <f t="shared" si="22"/>
        <v>16</v>
      </c>
      <c r="F287" s="420" t="str">
        <f t="shared" si="23"/>
        <v>pm</v>
      </c>
      <c r="G287" s="420" t="s">
        <v>821</v>
      </c>
      <c r="H287" s="420" t="s">
        <v>221</v>
      </c>
      <c r="I287" s="420" t="s">
        <v>822</v>
      </c>
      <c r="K287" s="421">
        <f t="shared" si="24"/>
        <v>2600</v>
      </c>
      <c r="M287" s="421">
        <v>2600</v>
      </c>
    </row>
    <row r="288" spans="1:16" x14ac:dyDescent="0.3">
      <c r="A288" s="420">
        <v>2</v>
      </c>
      <c r="C288" s="420">
        <f t="shared" si="20"/>
        <v>25</v>
      </c>
      <c r="D288" s="420">
        <f t="shared" si="21"/>
        <v>25</v>
      </c>
      <c r="E288" s="420">
        <f t="shared" si="22"/>
        <v>16</v>
      </c>
      <c r="F288" s="420" t="str">
        <f t="shared" si="23"/>
        <v>cr</v>
      </c>
      <c r="G288" s="420" t="s">
        <v>823</v>
      </c>
      <c r="H288" s="420" t="s">
        <v>203</v>
      </c>
      <c r="I288" s="420" t="s">
        <v>824</v>
      </c>
      <c r="K288" s="421">
        <f t="shared" si="24"/>
        <v>2665.7413599974529</v>
      </c>
      <c r="M288" s="421">
        <v>2600</v>
      </c>
      <c r="O288" s="420">
        <v>2665.7413599974529</v>
      </c>
    </row>
    <row r="289" spans="1:16" x14ac:dyDescent="0.3">
      <c r="A289" s="420">
        <v>1</v>
      </c>
      <c r="C289" s="420">
        <f t="shared" si="20"/>
        <v>26</v>
      </c>
      <c r="D289" s="420">
        <f t="shared" si="21"/>
        <v>26</v>
      </c>
      <c r="E289" s="420">
        <f t="shared" si="22"/>
        <v>16</v>
      </c>
      <c r="F289" s="420" t="str">
        <f t="shared" si="23"/>
        <v>crx</v>
      </c>
      <c r="G289" s="420" t="s">
        <v>825</v>
      </c>
      <c r="H289" s="420" t="s">
        <v>826</v>
      </c>
      <c r="I289" s="420" t="s">
        <v>827</v>
      </c>
      <c r="K289" s="421">
        <f t="shared" si="24"/>
        <v>2606.0774111634073</v>
      </c>
      <c r="M289" s="421">
        <v>2600</v>
      </c>
      <c r="P289" s="420">
        <v>2606.0774111634073</v>
      </c>
    </row>
    <row r="290" spans="1:16" x14ac:dyDescent="0.3">
      <c r="A290" s="420">
        <v>1</v>
      </c>
      <c r="C290" s="420">
        <f t="shared" si="20"/>
        <v>27</v>
      </c>
      <c r="D290" s="420">
        <f t="shared" si="21"/>
        <v>27</v>
      </c>
      <c r="E290" s="420">
        <f t="shared" si="22"/>
        <v>16</v>
      </c>
      <c r="F290" s="420" t="str">
        <f t="shared" si="23"/>
        <v>crx</v>
      </c>
      <c r="G290" s="420" t="s">
        <v>828</v>
      </c>
      <c r="H290" s="420" t="s">
        <v>829</v>
      </c>
      <c r="I290" s="420" t="s">
        <v>830</v>
      </c>
      <c r="K290" s="421">
        <f t="shared" si="24"/>
        <v>2600</v>
      </c>
      <c r="M290" s="421">
        <v>2600</v>
      </c>
    </row>
    <row r="291" spans="1:16" x14ac:dyDescent="0.3">
      <c r="A291" s="420">
        <v>1</v>
      </c>
      <c r="C291" s="420">
        <f t="shared" si="20"/>
        <v>28</v>
      </c>
      <c r="D291" s="420">
        <f t="shared" si="21"/>
        <v>27</v>
      </c>
      <c r="E291" s="420">
        <f t="shared" si="22"/>
        <v>16</v>
      </c>
      <c r="F291" s="420" t="str">
        <f t="shared" si="23"/>
        <v>crx</v>
      </c>
      <c r="G291" s="420" t="s">
        <v>831</v>
      </c>
      <c r="H291" s="420" t="s">
        <v>832</v>
      </c>
      <c r="I291" s="420" t="s">
        <v>833</v>
      </c>
      <c r="K291" s="421">
        <f t="shared" si="24"/>
        <v>2600</v>
      </c>
      <c r="M291" s="421">
        <v>2600</v>
      </c>
    </row>
    <row r="292" spans="1:16" x14ac:dyDescent="0.3">
      <c r="A292" s="420">
        <v>1</v>
      </c>
      <c r="C292" s="420">
        <f t="shared" si="20"/>
        <v>29</v>
      </c>
      <c r="D292" s="420">
        <f t="shared" si="21"/>
        <v>27</v>
      </c>
      <c r="E292" s="420">
        <f t="shared" si="22"/>
        <v>16</v>
      </c>
      <c r="F292" s="420" t="str">
        <f t="shared" si="23"/>
        <v>crx</v>
      </c>
      <c r="G292" s="420" t="s">
        <v>834</v>
      </c>
      <c r="H292" s="420" t="s">
        <v>832</v>
      </c>
      <c r="I292" s="420" t="s">
        <v>835</v>
      </c>
      <c r="K292" s="421">
        <f t="shared" si="24"/>
        <v>2600</v>
      </c>
      <c r="M292" s="421">
        <v>2600</v>
      </c>
    </row>
    <row r="293" spans="1:16" x14ac:dyDescent="0.3">
      <c r="A293" s="420">
        <v>1</v>
      </c>
      <c r="C293" s="420">
        <f t="shared" si="20"/>
        <v>30</v>
      </c>
      <c r="D293" s="420">
        <f t="shared" si="21"/>
        <v>27</v>
      </c>
      <c r="E293" s="420">
        <f t="shared" si="22"/>
        <v>16</v>
      </c>
      <c r="F293" s="420" t="str">
        <f t="shared" si="23"/>
        <v>crx</v>
      </c>
      <c r="G293" s="420" t="s">
        <v>836</v>
      </c>
      <c r="H293" s="420" t="s">
        <v>369</v>
      </c>
      <c r="I293" s="420" t="s">
        <v>837</v>
      </c>
      <c r="K293" s="421">
        <f t="shared" si="24"/>
        <v>2600</v>
      </c>
      <c r="M293" s="421">
        <v>2600</v>
      </c>
    </row>
    <row r="294" spans="1:16" x14ac:dyDescent="0.3">
      <c r="A294" s="420">
        <v>1</v>
      </c>
      <c r="C294" s="420">
        <f t="shared" si="20"/>
        <v>31</v>
      </c>
      <c r="D294" s="420">
        <f t="shared" si="21"/>
        <v>27</v>
      </c>
      <c r="E294" s="420">
        <f t="shared" si="22"/>
        <v>16</v>
      </c>
      <c r="F294" s="420" t="str">
        <f t="shared" si="23"/>
        <v>crx</v>
      </c>
      <c r="G294" s="420" t="s">
        <v>838</v>
      </c>
      <c r="H294" s="420" t="s">
        <v>372</v>
      </c>
      <c r="I294" s="420" t="s">
        <v>839</v>
      </c>
      <c r="K294" s="421">
        <f t="shared" si="24"/>
        <v>2600</v>
      </c>
      <c r="M294" s="421">
        <v>2600</v>
      </c>
    </row>
    <row r="295" spans="1:16" x14ac:dyDescent="0.3">
      <c r="A295" s="420">
        <v>1</v>
      </c>
      <c r="C295" s="420">
        <f t="shared" si="20"/>
        <v>32</v>
      </c>
      <c r="D295" s="420">
        <f t="shared" si="21"/>
        <v>27</v>
      </c>
      <c r="E295" s="420">
        <f t="shared" si="22"/>
        <v>16</v>
      </c>
      <c r="F295" s="420" t="str">
        <f t="shared" si="23"/>
        <v>crx</v>
      </c>
      <c r="G295" s="420" t="s">
        <v>840</v>
      </c>
      <c r="H295" s="420" t="s">
        <v>372</v>
      </c>
      <c r="I295" s="420" t="s">
        <v>841</v>
      </c>
      <c r="K295" s="421">
        <f t="shared" si="24"/>
        <v>2600</v>
      </c>
      <c r="M295" s="421">
        <v>2600</v>
      </c>
    </row>
    <row r="296" spans="1:16" x14ac:dyDescent="0.3">
      <c r="A296" s="420">
        <v>1</v>
      </c>
      <c r="C296" s="420">
        <f t="shared" si="20"/>
        <v>33</v>
      </c>
      <c r="D296" s="420">
        <f t="shared" si="21"/>
        <v>27</v>
      </c>
      <c r="E296" s="420">
        <f t="shared" si="22"/>
        <v>16</v>
      </c>
      <c r="F296" s="420" t="str">
        <f t="shared" si="23"/>
        <v>gex</v>
      </c>
      <c r="G296" s="420" t="s">
        <v>842</v>
      </c>
      <c r="H296" s="420" t="s">
        <v>843</v>
      </c>
      <c r="I296" s="420" t="s">
        <v>844</v>
      </c>
      <c r="K296" s="421">
        <f t="shared" si="24"/>
        <v>2600</v>
      </c>
      <c r="M296" s="421">
        <v>2600</v>
      </c>
    </row>
    <row r="297" spans="1:16" x14ac:dyDescent="0.3">
      <c r="A297" s="420">
        <v>1</v>
      </c>
      <c r="C297" s="420">
        <f t="shared" si="20"/>
        <v>34</v>
      </c>
      <c r="D297" s="420">
        <f t="shared" si="21"/>
        <v>27</v>
      </c>
      <c r="E297" s="420">
        <f t="shared" si="22"/>
        <v>16</v>
      </c>
      <c r="F297" s="420" t="str">
        <f t="shared" si="23"/>
        <v>sox</v>
      </c>
      <c r="G297" s="420" t="s">
        <v>845</v>
      </c>
      <c r="H297" s="420" t="s">
        <v>846</v>
      </c>
      <c r="I297" s="420" t="s">
        <v>847</v>
      </c>
      <c r="K297" s="421">
        <f t="shared" si="24"/>
        <v>2600</v>
      </c>
      <c r="M297" s="421">
        <v>2600</v>
      </c>
    </row>
    <row r="298" spans="1:16" x14ac:dyDescent="0.3">
      <c r="A298" s="420">
        <v>1</v>
      </c>
      <c r="C298" s="420">
        <f t="shared" si="20"/>
        <v>35</v>
      </c>
      <c r="D298" s="420">
        <f t="shared" si="21"/>
        <v>27</v>
      </c>
      <c r="E298" s="420">
        <f t="shared" si="22"/>
        <v>16</v>
      </c>
      <c r="F298" s="420" t="str">
        <f t="shared" si="23"/>
        <v>sox</v>
      </c>
      <c r="G298" s="420" t="s">
        <v>848</v>
      </c>
      <c r="H298" s="420" t="s">
        <v>696</v>
      </c>
      <c r="I298" s="420" t="s">
        <v>849</v>
      </c>
      <c r="K298" s="421">
        <f t="shared" si="24"/>
        <v>2600</v>
      </c>
      <c r="M298" s="421">
        <v>2600</v>
      </c>
    </row>
    <row r="299" spans="1:16" x14ac:dyDescent="0.3">
      <c r="A299" s="420">
        <v>3</v>
      </c>
      <c r="C299" s="420">
        <f t="shared" si="20"/>
        <v>36</v>
      </c>
      <c r="D299" s="420">
        <f t="shared" si="21"/>
        <v>27</v>
      </c>
      <c r="E299" s="420">
        <f t="shared" si="22"/>
        <v>16</v>
      </c>
      <c r="F299" s="420" t="str">
        <f t="shared" si="23"/>
        <v>pm</v>
      </c>
      <c r="G299" s="420" t="s">
        <v>850</v>
      </c>
      <c r="H299" s="420" t="s">
        <v>224</v>
      </c>
      <c r="I299" s="420" t="s">
        <v>851</v>
      </c>
      <c r="K299" s="421">
        <f t="shared" si="24"/>
        <v>2600</v>
      </c>
      <c r="M299" s="421">
        <v>2600</v>
      </c>
    </row>
    <row r="300" spans="1:16" x14ac:dyDescent="0.3">
      <c r="A300" s="420">
        <v>2</v>
      </c>
      <c r="C300" s="420">
        <f t="shared" si="20"/>
        <v>37</v>
      </c>
      <c r="D300" s="420">
        <f t="shared" si="21"/>
        <v>37</v>
      </c>
      <c r="E300" s="420">
        <f t="shared" si="22"/>
        <v>16</v>
      </c>
      <c r="F300" s="420" t="str">
        <f t="shared" si="23"/>
        <v>pm</v>
      </c>
      <c r="G300" s="420" t="s">
        <v>852</v>
      </c>
      <c r="H300" s="420" t="s">
        <v>215</v>
      </c>
      <c r="I300" s="420" t="s">
        <v>853</v>
      </c>
      <c r="K300" s="421">
        <f t="shared" si="24"/>
        <v>2619.4647988942984</v>
      </c>
      <c r="M300" s="421">
        <v>2600</v>
      </c>
      <c r="P300" s="420">
        <v>2619.4647988942984</v>
      </c>
    </row>
    <row r="301" spans="1:16" x14ac:dyDescent="0.3">
      <c r="A301" s="420">
        <v>1</v>
      </c>
      <c r="C301" s="420">
        <f t="shared" si="20"/>
        <v>38</v>
      </c>
      <c r="D301" s="420">
        <f t="shared" si="21"/>
        <v>38</v>
      </c>
      <c r="E301" s="420">
        <f t="shared" si="22"/>
        <v>16</v>
      </c>
      <c r="F301" s="420" t="str">
        <f t="shared" si="23"/>
        <v>gex</v>
      </c>
      <c r="G301" s="420" t="s">
        <v>854</v>
      </c>
      <c r="H301" s="420" t="s">
        <v>843</v>
      </c>
      <c r="I301" s="420" t="s">
        <v>855</v>
      </c>
      <c r="K301" s="421">
        <f t="shared" si="24"/>
        <v>2600</v>
      </c>
      <c r="M301" s="421">
        <v>2600</v>
      </c>
    </row>
    <row r="302" spans="1:16" x14ac:dyDescent="0.3">
      <c r="A302" s="420">
        <v>6</v>
      </c>
      <c r="C302" s="420">
        <f t="shared" si="20"/>
        <v>39</v>
      </c>
      <c r="D302" s="420">
        <f t="shared" si="21"/>
        <v>39</v>
      </c>
      <c r="E302" s="420">
        <f t="shared" si="22"/>
        <v>16</v>
      </c>
      <c r="F302" s="420" t="str">
        <f t="shared" si="23"/>
        <v>pm</v>
      </c>
      <c r="G302" s="420" t="s">
        <v>856</v>
      </c>
      <c r="H302" s="420" t="s">
        <v>224</v>
      </c>
      <c r="I302" s="420" t="s">
        <v>857</v>
      </c>
      <c r="K302" s="421">
        <f t="shared" si="24"/>
        <v>2506.500676192396</v>
      </c>
      <c r="M302" s="421">
        <v>2533.3333333333335</v>
      </c>
      <c r="O302" s="420">
        <v>2506.500676192396</v>
      </c>
    </row>
    <row r="303" spans="1:16" x14ac:dyDescent="0.3">
      <c r="A303" s="420">
        <v>4</v>
      </c>
      <c r="C303" s="420">
        <f t="shared" si="20"/>
        <v>40</v>
      </c>
      <c r="D303" s="420">
        <f t="shared" si="21"/>
        <v>40</v>
      </c>
      <c r="E303" s="420">
        <f t="shared" si="22"/>
        <v>16</v>
      </c>
      <c r="F303" s="420" t="str">
        <f t="shared" si="23"/>
        <v>pm</v>
      </c>
      <c r="G303" s="420" t="s">
        <v>858</v>
      </c>
      <c r="H303" s="420" t="s">
        <v>527</v>
      </c>
      <c r="I303" s="420" t="s">
        <v>859</v>
      </c>
      <c r="K303" s="421">
        <f t="shared" si="24"/>
        <v>2435.5218465919183</v>
      </c>
      <c r="M303" s="421">
        <v>2500</v>
      </c>
      <c r="N303" s="420">
        <v>2435.5218465919183</v>
      </c>
    </row>
    <row r="304" spans="1:16" x14ac:dyDescent="0.3">
      <c r="A304" s="420">
        <v>3</v>
      </c>
      <c r="C304" s="420">
        <f t="shared" si="20"/>
        <v>41</v>
      </c>
      <c r="D304" s="420">
        <f t="shared" si="21"/>
        <v>41</v>
      </c>
      <c r="E304" s="420">
        <f t="shared" si="22"/>
        <v>16</v>
      </c>
      <c r="F304" s="420" t="str">
        <f t="shared" si="23"/>
        <v>pm</v>
      </c>
      <c r="G304" s="420" t="s">
        <v>860</v>
      </c>
      <c r="H304" s="420" t="s">
        <v>227</v>
      </c>
      <c r="I304" s="420" t="s">
        <v>861</v>
      </c>
      <c r="K304" s="421">
        <f t="shared" si="24"/>
        <v>2581.2018990502715</v>
      </c>
      <c r="M304" s="421">
        <v>2466.6666666666665</v>
      </c>
      <c r="P304" s="420">
        <v>2581.2018990502715</v>
      </c>
    </row>
    <row r="305" spans="1:16" x14ac:dyDescent="0.3">
      <c r="A305" s="420">
        <v>5</v>
      </c>
      <c r="C305" s="420">
        <f t="shared" si="20"/>
        <v>42</v>
      </c>
      <c r="D305" s="420">
        <f t="shared" si="21"/>
        <v>42</v>
      </c>
      <c r="E305" s="420">
        <f t="shared" si="22"/>
        <v>16</v>
      </c>
      <c r="F305" s="420" t="str">
        <f t="shared" si="23"/>
        <v>pm</v>
      </c>
      <c r="G305" s="420" t="s">
        <v>862</v>
      </c>
      <c r="H305" s="420" t="s">
        <v>264</v>
      </c>
      <c r="I305" s="420" t="s">
        <v>863</v>
      </c>
      <c r="K305" s="421">
        <f t="shared" si="24"/>
        <v>2451.2167880233792</v>
      </c>
      <c r="M305" s="421">
        <v>2440</v>
      </c>
      <c r="O305" s="420">
        <v>2451.2167880233792</v>
      </c>
    </row>
    <row r="306" spans="1:16" x14ac:dyDescent="0.3">
      <c r="A306" s="420">
        <v>2</v>
      </c>
      <c r="C306" s="420">
        <f t="shared" si="20"/>
        <v>43</v>
      </c>
      <c r="D306" s="420">
        <f t="shared" si="21"/>
        <v>43</v>
      </c>
      <c r="E306" s="420">
        <f t="shared" si="22"/>
        <v>16</v>
      </c>
      <c r="F306" s="420" t="str">
        <f t="shared" si="23"/>
        <v>pm</v>
      </c>
      <c r="G306" s="420" t="s">
        <v>864</v>
      </c>
      <c r="H306" s="420" t="s">
        <v>727</v>
      </c>
      <c r="I306" s="420" t="s">
        <v>865</v>
      </c>
      <c r="K306" s="421">
        <f t="shared" si="24"/>
        <v>2412.7691341746354</v>
      </c>
      <c r="M306" s="421">
        <v>2400</v>
      </c>
      <c r="N306" s="420">
        <v>2412.7691341746354</v>
      </c>
    </row>
    <row r="307" spans="1:16" x14ac:dyDescent="0.3">
      <c r="A307" s="420">
        <v>4</v>
      </c>
      <c r="C307" s="420">
        <f t="shared" si="20"/>
        <v>44</v>
      </c>
      <c r="D307" s="420">
        <f t="shared" si="21"/>
        <v>44</v>
      </c>
      <c r="E307" s="420">
        <f t="shared" si="22"/>
        <v>16</v>
      </c>
      <c r="F307" s="420" t="str">
        <f t="shared" si="23"/>
        <v>pm</v>
      </c>
      <c r="G307" s="420" t="s">
        <v>866</v>
      </c>
      <c r="H307" s="420" t="s">
        <v>352</v>
      </c>
      <c r="I307" s="420" t="s">
        <v>867</v>
      </c>
      <c r="K307" s="421">
        <f t="shared" si="24"/>
        <v>2398.7776442920149</v>
      </c>
      <c r="M307" s="421">
        <v>2400</v>
      </c>
      <c r="P307" s="420">
        <v>2398.7776442920149</v>
      </c>
    </row>
    <row r="308" spans="1:16" x14ac:dyDescent="0.3">
      <c r="A308" s="420">
        <v>2</v>
      </c>
      <c r="C308" s="420">
        <f t="shared" si="20"/>
        <v>45</v>
      </c>
      <c r="D308" s="420">
        <f t="shared" si="21"/>
        <v>45</v>
      </c>
      <c r="E308" s="420">
        <f t="shared" si="22"/>
        <v>16</v>
      </c>
      <c r="F308" s="420" t="str">
        <f t="shared" si="23"/>
        <v>pm</v>
      </c>
      <c r="G308" s="420" t="s">
        <v>868</v>
      </c>
      <c r="H308" s="420" t="s">
        <v>200</v>
      </c>
      <c r="I308" s="420" t="s">
        <v>869</v>
      </c>
      <c r="K308" s="421">
        <f t="shared" si="24"/>
        <v>2559.6004804126883</v>
      </c>
      <c r="M308" s="421">
        <v>2400</v>
      </c>
      <c r="P308" s="420">
        <v>2559.6004804126883</v>
      </c>
    </row>
    <row r="309" spans="1:16" x14ac:dyDescent="0.3">
      <c r="A309" s="420">
        <v>2</v>
      </c>
      <c r="C309" s="420">
        <f t="shared" si="20"/>
        <v>46</v>
      </c>
      <c r="D309" s="420">
        <f t="shared" si="21"/>
        <v>46</v>
      </c>
      <c r="E309" s="420">
        <f t="shared" si="22"/>
        <v>16</v>
      </c>
      <c r="F309" s="420" t="str">
        <f t="shared" si="23"/>
        <v>pm</v>
      </c>
      <c r="G309" s="420" t="s">
        <v>870</v>
      </c>
      <c r="H309" s="420" t="s">
        <v>227</v>
      </c>
      <c r="I309" s="420" t="s">
        <v>871</v>
      </c>
      <c r="K309" s="421">
        <f t="shared" si="24"/>
        <v>2400</v>
      </c>
      <c r="M309" s="421">
        <v>2400</v>
      </c>
    </row>
    <row r="310" spans="1:16" x14ac:dyDescent="0.3">
      <c r="A310" s="420">
        <v>2</v>
      </c>
      <c r="C310" s="420">
        <f t="shared" si="20"/>
        <v>47</v>
      </c>
      <c r="D310" s="420">
        <f t="shared" si="21"/>
        <v>46</v>
      </c>
      <c r="E310" s="420">
        <f t="shared" si="22"/>
        <v>16</v>
      </c>
      <c r="F310" s="420" t="str">
        <f t="shared" si="23"/>
        <v>so</v>
      </c>
      <c r="G310" s="420" t="s">
        <v>872</v>
      </c>
      <c r="H310" s="420" t="s">
        <v>696</v>
      </c>
      <c r="I310" s="420" t="s">
        <v>873</v>
      </c>
      <c r="K310" s="421">
        <f t="shared" si="24"/>
        <v>2400</v>
      </c>
      <c r="M310" s="421">
        <v>2400</v>
      </c>
    </row>
    <row r="311" spans="1:16" x14ac:dyDescent="0.3">
      <c r="A311" s="420">
        <v>5</v>
      </c>
      <c r="C311" s="420">
        <f t="shared" si="20"/>
        <v>48</v>
      </c>
      <c r="D311" s="420">
        <f t="shared" si="21"/>
        <v>48</v>
      </c>
      <c r="E311" s="420">
        <f t="shared" si="22"/>
        <v>16</v>
      </c>
      <c r="F311" s="420" t="str">
        <f t="shared" si="23"/>
        <v>pm</v>
      </c>
      <c r="G311" s="420" t="s">
        <v>874</v>
      </c>
      <c r="H311" s="420" t="s">
        <v>334</v>
      </c>
      <c r="I311" s="420" t="s">
        <v>875</v>
      </c>
      <c r="K311" s="421">
        <f t="shared" si="24"/>
        <v>2399.7073966884218</v>
      </c>
      <c r="M311" s="421">
        <v>2360</v>
      </c>
      <c r="N311" s="420">
        <v>2378.6478158384998</v>
      </c>
      <c r="P311" s="420">
        <v>2399.7073966884218</v>
      </c>
    </row>
    <row r="312" spans="1:16" x14ac:dyDescent="0.3">
      <c r="A312" s="420">
        <v>3</v>
      </c>
      <c r="C312" s="420">
        <f t="shared" si="20"/>
        <v>49</v>
      </c>
      <c r="D312" s="420">
        <f t="shared" si="21"/>
        <v>49</v>
      </c>
      <c r="E312" s="420">
        <f t="shared" si="22"/>
        <v>16</v>
      </c>
      <c r="F312" s="420" t="str">
        <f t="shared" si="23"/>
        <v>pm</v>
      </c>
      <c r="G312" s="420" t="s">
        <v>876</v>
      </c>
      <c r="H312" s="420" t="s">
        <v>727</v>
      </c>
      <c r="I312" s="420" t="s">
        <v>877</v>
      </c>
      <c r="K312" s="421">
        <f t="shared" si="24"/>
        <v>2350.4492194249574</v>
      </c>
      <c r="M312" s="421">
        <v>2333.3333333333335</v>
      </c>
      <c r="O312" s="420">
        <v>2350.4492194249574</v>
      </c>
    </row>
    <row r="313" spans="1:16" x14ac:dyDescent="0.3">
      <c r="A313" s="420">
        <v>3</v>
      </c>
      <c r="C313" s="420">
        <f t="shared" si="20"/>
        <v>50</v>
      </c>
      <c r="D313" s="420">
        <f t="shared" si="21"/>
        <v>50</v>
      </c>
      <c r="E313" s="420">
        <f t="shared" si="22"/>
        <v>16</v>
      </c>
      <c r="F313" s="420" t="str">
        <f t="shared" si="23"/>
        <v>pm</v>
      </c>
      <c r="G313" s="420" t="s">
        <v>878</v>
      </c>
      <c r="H313" s="420" t="s">
        <v>227</v>
      </c>
      <c r="I313" s="420" t="s">
        <v>879</v>
      </c>
      <c r="K313" s="421">
        <f t="shared" si="24"/>
        <v>2440.4966018677383</v>
      </c>
      <c r="M313" s="421">
        <v>2333.3333333333335</v>
      </c>
      <c r="P313" s="420">
        <v>2440.4966018677383</v>
      </c>
    </row>
    <row r="314" spans="1:16" x14ac:dyDescent="0.3">
      <c r="A314" s="420">
        <v>3</v>
      </c>
      <c r="C314" s="420">
        <f t="shared" si="20"/>
        <v>51</v>
      </c>
      <c r="D314" s="420">
        <f t="shared" si="21"/>
        <v>51</v>
      </c>
      <c r="E314" s="420">
        <f t="shared" si="22"/>
        <v>16</v>
      </c>
      <c r="F314" s="420" t="str">
        <f t="shared" si="23"/>
        <v>pm</v>
      </c>
      <c r="G314" s="420" t="s">
        <v>880</v>
      </c>
      <c r="H314" s="420" t="s">
        <v>227</v>
      </c>
      <c r="I314" s="420" t="s">
        <v>881</v>
      </c>
      <c r="K314" s="421">
        <f t="shared" si="24"/>
        <v>2348.2124168226542</v>
      </c>
      <c r="M314" s="421">
        <v>2333.3333333333335</v>
      </c>
      <c r="P314" s="420">
        <v>2348.2124168226542</v>
      </c>
    </row>
    <row r="315" spans="1:16" x14ac:dyDescent="0.3">
      <c r="A315" s="420">
        <v>5</v>
      </c>
      <c r="C315" s="420">
        <f t="shared" si="20"/>
        <v>52</v>
      </c>
      <c r="D315" s="420">
        <f t="shared" si="21"/>
        <v>52</v>
      </c>
      <c r="E315" s="420">
        <f t="shared" si="22"/>
        <v>16</v>
      </c>
      <c r="F315" s="420" t="str">
        <f t="shared" si="23"/>
        <v>pm</v>
      </c>
      <c r="G315" s="420" t="s">
        <v>882</v>
      </c>
      <c r="H315" s="420" t="s">
        <v>305</v>
      </c>
      <c r="I315" s="420" t="s">
        <v>883</v>
      </c>
      <c r="K315" s="421">
        <f t="shared" si="24"/>
        <v>2452.2858462021122</v>
      </c>
      <c r="M315" s="421">
        <v>2320</v>
      </c>
      <c r="N315" s="420">
        <v>2349.5946590373273</v>
      </c>
      <c r="P315" s="420">
        <v>2452.2858462021122</v>
      </c>
    </row>
    <row r="316" spans="1:16" x14ac:dyDescent="0.3">
      <c r="A316" s="420">
        <v>4</v>
      </c>
      <c r="C316" s="420">
        <f t="shared" si="20"/>
        <v>53</v>
      </c>
      <c r="D316" s="420">
        <f t="shared" si="21"/>
        <v>53</v>
      </c>
      <c r="E316" s="420">
        <f t="shared" si="22"/>
        <v>16</v>
      </c>
      <c r="F316" s="420" t="str">
        <f t="shared" si="23"/>
        <v>pm</v>
      </c>
      <c r="G316" s="420" t="s">
        <v>884</v>
      </c>
      <c r="H316" s="420" t="s">
        <v>283</v>
      </c>
      <c r="I316" s="420" t="s">
        <v>885</v>
      </c>
      <c r="K316" s="421">
        <f t="shared" si="24"/>
        <v>2351.0771552233873</v>
      </c>
      <c r="M316" s="421">
        <v>2300</v>
      </c>
      <c r="P316" s="420">
        <v>2351.0771552233873</v>
      </c>
    </row>
    <row r="317" spans="1:16" x14ac:dyDescent="0.3">
      <c r="A317" s="420">
        <v>4</v>
      </c>
      <c r="C317" s="420">
        <f t="shared" si="20"/>
        <v>54</v>
      </c>
      <c r="D317" s="420">
        <f t="shared" si="21"/>
        <v>54</v>
      </c>
      <c r="E317" s="420">
        <f t="shared" si="22"/>
        <v>16</v>
      </c>
      <c r="F317" s="420" t="str">
        <f t="shared" si="23"/>
        <v>pm</v>
      </c>
      <c r="G317" s="420" t="s">
        <v>886</v>
      </c>
      <c r="H317" s="420" t="s">
        <v>491</v>
      </c>
      <c r="I317" s="420" t="s">
        <v>887</v>
      </c>
      <c r="K317" s="421">
        <f t="shared" si="24"/>
        <v>2228.6080523393039</v>
      </c>
      <c r="M317" s="421">
        <v>2300</v>
      </c>
      <c r="N317" s="420">
        <v>2240.5536622425197</v>
      </c>
      <c r="P317" s="420">
        <v>2228.6080523393039</v>
      </c>
    </row>
    <row r="318" spans="1:16" x14ac:dyDescent="0.3">
      <c r="A318" s="420">
        <v>6</v>
      </c>
      <c r="C318" s="420">
        <f t="shared" si="20"/>
        <v>55</v>
      </c>
      <c r="D318" s="420">
        <f t="shared" si="21"/>
        <v>55</v>
      </c>
      <c r="E318" s="420">
        <f t="shared" si="22"/>
        <v>16</v>
      </c>
      <c r="F318" s="420" t="str">
        <f t="shared" si="23"/>
        <v>pm</v>
      </c>
      <c r="G318" s="420" t="s">
        <v>888</v>
      </c>
      <c r="H318" s="420" t="s">
        <v>539</v>
      </c>
      <c r="I318" s="420" t="s">
        <v>889</v>
      </c>
      <c r="K318" s="421">
        <f t="shared" si="24"/>
        <v>2282.9565164409532</v>
      </c>
      <c r="M318" s="421">
        <v>2266.6666666666665</v>
      </c>
      <c r="P318" s="420">
        <v>2282.9565164409532</v>
      </c>
    </row>
    <row r="319" spans="1:16" x14ac:dyDescent="0.3">
      <c r="A319" s="420">
        <v>6</v>
      </c>
      <c r="C319" s="420">
        <f t="shared" si="20"/>
        <v>56</v>
      </c>
      <c r="D319" s="420">
        <f t="shared" si="21"/>
        <v>56</v>
      </c>
      <c r="E319" s="420">
        <f t="shared" si="22"/>
        <v>16</v>
      </c>
      <c r="F319" s="420" t="str">
        <f t="shared" si="23"/>
        <v>pm</v>
      </c>
      <c r="G319" s="420" t="s">
        <v>890</v>
      </c>
      <c r="H319" s="420" t="s">
        <v>891</v>
      </c>
      <c r="I319" s="420" t="s">
        <v>892</v>
      </c>
      <c r="K319" s="421">
        <f t="shared" si="24"/>
        <v>2266.6337502919241</v>
      </c>
      <c r="M319" s="421">
        <v>2200</v>
      </c>
      <c r="N319" s="420">
        <v>2177.6728316862236</v>
      </c>
      <c r="P319" s="420">
        <v>2266.6337502919241</v>
      </c>
    </row>
    <row r="320" spans="1:16" x14ac:dyDescent="0.3">
      <c r="A320" s="420">
        <v>2</v>
      </c>
      <c r="C320" s="420">
        <f t="shared" si="20"/>
        <v>57</v>
      </c>
      <c r="D320" s="420">
        <f t="shared" si="21"/>
        <v>57</v>
      </c>
      <c r="E320" s="420">
        <f t="shared" si="22"/>
        <v>16</v>
      </c>
      <c r="F320" s="420" t="str">
        <f t="shared" si="23"/>
        <v>pm</v>
      </c>
      <c r="G320" s="420" t="s">
        <v>893</v>
      </c>
      <c r="H320" s="420" t="s">
        <v>240</v>
      </c>
      <c r="I320" s="420" t="s">
        <v>894</v>
      </c>
      <c r="K320" s="421">
        <f t="shared" si="24"/>
        <v>2200</v>
      </c>
      <c r="M320" s="421">
        <v>2200</v>
      </c>
    </row>
    <row r="321" spans="1:16" x14ac:dyDescent="0.3">
      <c r="A321" s="420">
        <v>4</v>
      </c>
      <c r="C321" s="420">
        <f t="shared" si="20"/>
        <v>58</v>
      </c>
      <c r="D321" s="420">
        <f t="shared" si="21"/>
        <v>58</v>
      </c>
      <c r="E321" s="420">
        <f t="shared" si="22"/>
        <v>16</v>
      </c>
      <c r="F321" s="420" t="str">
        <f t="shared" si="23"/>
        <v>pm</v>
      </c>
      <c r="G321" s="420" t="s">
        <v>895</v>
      </c>
      <c r="H321" s="420" t="s">
        <v>554</v>
      </c>
      <c r="I321" s="420" t="s">
        <v>896</v>
      </c>
      <c r="K321" s="421">
        <f t="shared" si="24"/>
        <v>2189.1224640919872</v>
      </c>
      <c r="M321" s="421">
        <v>2200</v>
      </c>
      <c r="P321" s="420">
        <v>2189.1224640919872</v>
      </c>
    </row>
    <row r="322" spans="1:16" x14ac:dyDescent="0.3">
      <c r="A322" s="420">
        <v>2</v>
      </c>
      <c r="C322" s="420">
        <f t="shared" ref="C322:C385" si="25">IF(E322=E321,C321+1,1)</f>
        <v>59</v>
      </c>
      <c r="D322" s="420">
        <f t="shared" ref="D322:D385" si="26">IF(K322=K321,D321,C322)</f>
        <v>59</v>
      </c>
      <c r="E322" s="420">
        <f t="shared" ref="E322:E385" si="27">10+VALUE(RIGHT(LEFT(G322,3),1))</f>
        <v>16</v>
      </c>
      <c r="F322" s="420" t="str">
        <f t="shared" ref="F322:F385" si="28">RIGHT(G322,2) &amp; IF(A322&lt;2,"x","")</f>
        <v>pm</v>
      </c>
      <c r="G322" s="420" t="s">
        <v>897</v>
      </c>
      <c r="H322" s="420" t="s">
        <v>250</v>
      </c>
      <c r="I322" s="420" t="s">
        <v>898</v>
      </c>
      <c r="K322" s="421">
        <f t="shared" ref="K322:K385" si="29">LOOKUP(1E+100,M322:AB322)</f>
        <v>2124.4926134098159</v>
      </c>
      <c r="M322" s="421">
        <v>2200</v>
      </c>
      <c r="N322" s="420">
        <v>2124.4926134098159</v>
      </c>
    </row>
    <row r="323" spans="1:16" x14ac:dyDescent="0.3">
      <c r="A323" s="420">
        <v>5</v>
      </c>
      <c r="C323" s="420">
        <f t="shared" si="25"/>
        <v>60</v>
      </c>
      <c r="D323" s="420">
        <f t="shared" si="26"/>
        <v>60</v>
      </c>
      <c r="E323" s="420">
        <f t="shared" si="27"/>
        <v>16</v>
      </c>
      <c r="F323" s="420" t="str">
        <f t="shared" si="28"/>
        <v>pm</v>
      </c>
      <c r="G323" s="420" t="s">
        <v>899</v>
      </c>
      <c r="H323" s="420" t="s">
        <v>256</v>
      </c>
      <c r="I323" s="420" t="s">
        <v>900</v>
      </c>
      <c r="K323" s="421">
        <f t="shared" si="29"/>
        <v>2246.0256926694246</v>
      </c>
      <c r="M323" s="421">
        <v>2200</v>
      </c>
      <c r="N323" s="420">
        <v>2160.485456451649</v>
      </c>
      <c r="P323" s="420">
        <v>2246.0256926694246</v>
      </c>
    </row>
    <row r="324" spans="1:16" x14ac:dyDescent="0.3">
      <c r="A324" s="420">
        <v>7</v>
      </c>
      <c r="C324" s="420">
        <f t="shared" si="25"/>
        <v>61</v>
      </c>
      <c r="D324" s="420">
        <f t="shared" si="26"/>
        <v>61</v>
      </c>
      <c r="E324" s="420">
        <f t="shared" si="27"/>
        <v>16</v>
      </c>
      <c r="F324" s="420" t="str">
        <f t="shared" si="28"/>
        <v>pm</v>
      </c>
      <c r="G324" s="420" t="s">
        <v>901</v>
      </c>
      <c r="H324" s="420" t="s">
        <v>261</v>
      </c>
      <c r="I324" s="420" t="s">
        <v>902</v>
      </c>
      <c r="K324" s="421">
        <f t="shared" si="29"/>
        <v>2131.4347293190935</v>
      </c>
      <c r="M324" s="421">
        <v>2200</v>
      </c>
      <c r="N324" s="420">
        <v>2166.6305951950408</v>
      </c>
      <c r="P324" s="420">
        <v>2131.4347293190935</v>
      </c>
    </row>
    <row r="325" spans="1:16" x14ac:dyDescent="0.3">
      <c r="A325" s="420">
        <v>6</v>
      </c>
      <c r="C325" s="420">
        <f t="shared" si="25"/>
        <v>62</v>
      </c>
      <c r="D325" s="420">
        <f t="shared" si="26"/>
        <v>62</v>
      </c>
      <c r="E325" s="420">
        <f t="shared" si="27"/>
        <v>16</v>
      </c>
      <c r="F325" s="420" t="str">
        <f t="shared" si="28"/>
        <v>pm</v>
      </c>
      <c r="G325" s="420" t="s">
        <v>903</v>
      </c>
      <c r="H325" s="420" t="s">
        <v>264</v>
      </c>
      <c r="I325" s="420" t="s">
        <v>904</v>
      </c>
      <c r="K325" s="421">
        <f t="shared" si="29"/>
        <v>2137.3159746233223</v>
      </c>
      <c r="M325" s="421">
        <v>2200</v>
      </c>
      <c r="P325" s="420">
        <v>2137.3159746233223</v>
      </c>
    </row>
    <row r="326" spans="1:16" x14ac:dyDescent="0.3">
      <c r="A326" s="420">
        <v>4</v>
      </c>
      <c r="C326" s="420">
        <f t="shared" si="25"/>
        <v>63</v>
      </c>
      <c r="D326" s="420">
        <f t="shared" si="26"/>
        <v>63</v>
      </c>
      <c r="E326" s="420">
        <f t="shared" si="27"/>
        <v>16</v>
      </c>
      <c r="F326" s="420" t="str">
        <f t="shared" si="28"/>
        <v>pm</v>
      </c>
      <c r="G326" s="420" t="s">
        <v>905</v>
      </c>
      <c r="H326" s="420" t="s">
        <v>273</v>
      </c>
      <c r="I326" s="420" t="s">
        <v>906</v>
      </c>
      <c r="K326" s="421">
        <f t="shared" si="29"/>
        <v>2171.5338221361626</v>
      </c>
      <c r="M326" s="421">
        <v>2200</v>
      </c>
      <c r="P326" s="420">
        <v>2171.5338221361626</v>
      </c>
    </row>
    <row r="327" spans="1:16" x14ac:dyDescent="0.3">
      <c r="A327" s="420">
        <v>7</v>
      </c>
      <c r="C327" s="420">
        <f t="shared" si="25"/>
        <v>64</v>
      </c>
      <c r="D327" s="420">
        <f t="shared" si="26"/>
        <v>64</v>
      </c>
      <c r="E327" s="420">
        <f t="shared" si="27"/>
        <v>16</v>
      </c>
      <c r="F327" s="420" t="str">
        <f t="shared" si="28"/>
        <v>pm</v>
      </c>
      <c r="G327" s="420" t="s">
        <v>907</v>
      </c>
      <c r="H327" s="420" t="s">
        <v>278</v>
      </c>
      <c r="I327" s="420" t="s">
        <v>908</v>
      </c>
      <c r="K327" s="421">
        <f t="shared" si="29"/>
        <v>2162.529492486251</v>
      </c>
      <c r="M327" s="421">
        <v>2200</v>
      </c>
      <c r="N327" s="420">
        <v>2142.8617667366602</v>
      </c>
      <c r="P327" s="420">
        <v>2162.529492486251</v>
      </c>
    </row>
    <row r="328" spans="1:16" x14ac:dyDescent="0.3">
      <c r="A328" s="420">
        <v>5</v>
      </c>
      <c r="C328" s="420">
        <f t="shared" si="25"/>
        <v>65</v>
      </c>
      <c r="D328" s="420">
        <f t="shared" si="26"/>
        <v>65</v>
      </c>
      <c r="E328" s="420">
        <f t="shared" si="27"/>
        <v>16</v>
      </c>
      <c r="F328" s="420" t="str">
        <f t="shared" si="28"/>
        <v>pm</v>
      </c>
      <c r="G328" s="420" t="s">
        <v>909</v>
      </c>
      <c r="H328" s="420" t="s">
        <v>437</v>
      </c>
      <c r="I328" s="420" t="s">
        <v>910</v>
      </c>
      <c r="K328" s="421">
        <f t="shared" si="29"/>
        <v>2163.4233364273991</v>
      </c>
      <c r="M328" s="421">
        <v>2200</v>
      </c>
      <c r="P328" s="420">
        <v>2163.4233364273991</v>
      </c>
    </row>
    <row r="329" spans="1:16" x14ac:dyDescent="0.3">
      <c r="A329" s="420">
        <v>5</v>
      </c>
      <c r="C329" s="420">
        <f t="shared" si="25"/>
        <v>66</v>
      </c>
      <c r="D329" s="420">
        <f t="shared" si="26"/>
        <v>66</v>
      </c>
      <c r="E329" s="420">
        <f t="shared" si="27"/>
        <v>16</v>
      </c>
      <c r="F329" s="420" t="str">
        <f t="shared" si="28"/>
        <v>pm</v>
      </c>
      <c r="G329" s="420" t="s">
        <v>911</v>
      </c>
      <c r="H329" s="420" t="s">
        <v>437</v>
      </c>
      <c r="I329" s="420" t="s">
        <v>912</v>
      </c>
      <c r="K329" s="421">
        <f t="shared" si="29"/>
        <v>2120.6626175619003</v>
      </c>
      <c r="M329" s="421">
        <v>2200</v>
      </c>
      <c r="P329" s="420">
        <v>2120.6626175619003</v>
      </c>
    </row>
    <row r="330" spans="1:16" x14ac:dyDescent="0.3">
      <c r="A330" s="420">
        <v>2</v>
      </c>
      <c r="C330" s="420">
        <f t="shared" si="25"/>
        <v>67</v>
      </c>
      <c r="D330" s="420">
        <f t="shared" si="26"/>
        <v>67</v>
      </c>
      <c r="E330" s="420">
        <f t="shared" si="27"/>
        <v>16</v>
      </c>
      <c r="F330" s="420" t="str">
        <f t="shared" si="28"/>
        <v>pm</v>
      </c>
      <c r="G330" s="420" t="s">
        <v>913</v>
      </c>
      <c r="H330" s="420" t="s">
        <v>527</v>
      </c>
      <c r="I330" s="420" t="s">
        <v>914</v>
      </c>
      <c r="K330" s="421">
        <f t="shared" si="29"/>
        <v>2200</v>
      </c>
      <c r="M330" s="421">
        <v>2200</v>
      </c>
    </row>
    <row r="331" spans="1:16" x14ac:dyDescent="0.3">
      <c r="A331" s="420">
        <v>1</v>
      </c>
      <c r="C331" s="420">
        <f t="shared" si="25"/>
        <v>68</v>
      </c>
      <c r="D331" s="420">
        <f t="shared" si="26"/>
        <v>67</v>
      </c>
      <c r="E331" s="420">
        <f t="shared" si="27"/>
        <v>16</v>
      </c>
      <c r="F331" s="420" t="str">
        <f t="shared" si="28"/>
        <v>crx</v>
      </c>
      <c r="G331" s="420" t="s">
        <v>915</v>
      </c>
      <c r="H331" s="420" t="s">
        <v>612</v>
      </c>
      <c r="I331" s="420" t="s">
        <v>916</v>
      </c>
      <c r="K331" s="421">
        <f t="shared" si="29"/>
        <v>2200</v>
      </c>
      <c r="M331" s="421">
        <v>2200</v>
      </c>
    </row>
    <row r="332" spans="1:16" x14ac:dyDescent="0.3">
      <c r="A332" s="420">
        <v>1</v>
      </c>
      <c r="C332" s="420">
        <f t="shared" si="25"/>
        <v>69</v>
      </c>
      <c r="D332" s="420">
        <f t="shared" si="26"/>
        <v>67</v>
      </c>
      <c r="E332" s="420">
        <f t="shared" si="27"/>
        <v>16</v>
      </c>
      <c r="F332" s="420" t="str">
        <f t="shared" si="28"/>
        <v>crx</v>
      </c>
      <c r="G332" s="420" t="s">
        <v>917</v>
      </c>
      <c r="H332" s="420" t="s">
        <v>918</v>
      </c>
      <c r="I332" s="420" t="s">
        <v>919</v>
      </c>
      <c r="K332" s="421">
        <f t="shared" si="29"/>
        <v>2200</v>
      </c>
      <c r="M332" s="421">
        <v>2200</v>
      </c>
    </row>
    <row r="333" spans="1:16" x14ac:dyDescent="0.3">
      <c r="A333" s="420">
        <v>1</v>
      </c>
      <c r="C333" s="420">
        <f t="shared" si="25"/>
        <v>70</v>
      </c>
      <c r="D333" s="420">
        <f t="shared" si="26"/>
        <v>67</v>
      </c>
      <c r="E333" s="420">
        <f t="shared" si="27"/>
        <v>16</v>
      </c>
      <c r="F333" s="420" t="str">
        <f t="shared" si="28"/>
        <v>crx</v>
      </c>
      <c r="G333" s="420" t="s">
        <v>920</v>
      </c>
      <c r="H333" s="420" t="s">
        <v>921</v>
      </c>
      <c r="I333" s="420" t="s">
        <v>922</v>
      </c>
      <c r="K333" s="421">
        <f t="shared" si="29"/>
        <v>2200</v>
      </c>
      <c r="M333" s="421">
        <v>2200</v>
      </c>
    </row>
    <row r="334" spans="1:16" x14ac:dyDescent="0.3">
      <c r="A334" s="420">
        <v>3</v>
      </c>
      <c r="C334" s="420">
        <f t="shared" si="25"/>
        <v>71</v>
      </c>
      <c r="D334" s="420">
        <f t="shared" si="26"/>
        <v>67</v>
      </c>
      <c r="E334" s="420">
        <f t="shared" si="27"/>
        <v>16</v>
      </c>
      <c r="F334" s="420" t="str">
        <f t="shared" si="28"/>
        <v>cr</v>
      </c>
      <c r="G334" s="420" t="s">
        <v>923</v>
      </c>
      <c r="H334" s="420" t="s">
        <v>448</v>
      </c>
      <c r="I334" s="420" t="s">
        <v>924</v>
      </c>
      <c r="K334" s="421">
        <f t="shared" si="29"/>
        <v>2200</v>
      </c>
      <c r="M334" s="421">
        <v>2200</v>
      </c>
    </row>
    <row r="335" spans="1:16" x14ac:dyDescent="0.3">
      <c r="A335" s="420">
        <v>3</v>
      </c>
      <c r="C335" s="420">
        <f t="shared" si="25"/>
        <v>72</v>
      </c>
      <c r="D335" s="420">
        <f t="shared" si="26"/>
        <v>72</v>
      </c>
      <c r="E335" s="420">
        <f t="shared" si="27"/>
        <v>16</v>
      </c>
      <c r="F335" s="420" t="str">
        <f t="shared" si="28"/>
        <v>cr</v>
      </c>
      <c r="G335" s="420" t="s">
        <v>925</v>
      </c>
      <c r="H335" s="420" t="s">
        <v>624</v>
      </c>
      <c r="I335" s="420" t="s">
        <v>926</v>
      </c>
      <c r="K335" s="421">
        <f t="shared" si="29"/>
        <v>2240.5106942467469</v>
      </c>
      <c r="M335" s="421">
        <v>2200</v>
      </c>
      <c r="N335" s="420">
        <v>2240.5106942467469</v>
      </c>
    </row>
    <row r="336" spans="1:16" x14ac:dyDescent="0.3">
      <c r="A336" s="420">
        <v>2</v>
      </c>
      <c r="C336" s="420">
        <f t="shared" si="25"/>
        <v>73</v>
      </c>
      <c r="D336" s="420">
        <f t="shared" si="26"/>
        <v>73</v>
      </c>
      <c r="E336" s="420">
        <f t="shared" si="27"/>
        <v>16</v>
      </c>
      <c r="F336" s="420" t="str">
        <f t="shared" si="28"/>
        <v>so</v>
      </c>
      <c r="G336" s="420" t="s">
        <v>927</v>
      </c>
      <c r="H336" s="420" t="s">
        <v>453</v>
      </c>
      <c r="I336" s="420" t="s">
        <v>928</v>
      </c>
      <c r="K336" s="421">
        <f t="shared" si="29"/>
        <v>2200</v>
      </c>
      <c r="M336" s="421">
        <v>2200</v>
      </c>
    </row>
    <row r="337" spans="1:16" x14ac:dyDescent="0.3">
      <c r="A337" s="420">
        <v>2</v>
      </c>
      <c r="C337" s="420">
        <f t="shared" si="25"/>
        <v>74</v>
      </c>
      <c r="D337" s="420">
        <f t="shared" si="26"/>
        <v>73</v>
      </c>
      <c r="E337" s="420">
        <f t="shared" si="27"/>
        <v>16</v>
      </c>
      <c r="F337" s="420" t="str">
        <f t="shared" si="28"/>
        <v>so</v>
      </c>
      <c r="G337" s="420" t="s">
        <v>929</v>
      </c>
      <c r="H337" s="420" t="s">
        <v>696</v>
      </c>
      <c r="I337" s="420" t="s">
        <v>930</v>
      </c>
      <c r="K337" s="421">
        <f t="shared" si="29"/>
        <v>2200</v>
      </c>
      <c r="M337" s="421">
        <v>2200</v>
      </c>
    </row>
    <row r="338" spans="1:16" x14ac:dyDescent="0.3">
      <c r="A338" s="420">
        <v>4</v>
      </c>
      <c r="C338" s="420">
        <f t="shared" si="25"/>
        <v>1</v>
      </c>
      <c r="D338" s="420">
        <f t="shared" si="26"/>
        <v>1</v>
      </c>
      <c r="E338" s="420">
        <f t="shared" si="27"/>
        <v>17</v>
      </c>
      <c r="F338" s="420" t="str">
        <f t="shared" si="28"/>
        <v>pm</v>
      </c>
      <c r="G338" s="420" t="s">
        <v>931</v>
      </c>
      <c r="H338" s="420" t="s">
        <v>243</v>
      </c>
      <c r="I338" s="420" t="s">
        <v>932</v>
      </c>
      <c r="K338" s="421">
        <f t="shared" si="29"/>
        <v>2728.6666577006049</v>
      </c>
      <c r="M338" s="421">
        <v>2800</v>
      </c>
      <c r="P338" s="420">
        <v>2728.6666577006049</v>
      </c>
    </row>
    <row r="339" spans="1:16" x14ac:dyDescent="0.3">
      <c r="A339" s="420">
        <v>5</v>
      </c>
      <c r="C339" s="420">
        <f t="shared" si="25"/>
        <v>2</v>
      </c>
      <c r="D339" s="420">
        <f t="shared" si="26"/>
        <v>2</v>
      </c>
      <c r="E339" s="420">
        <f t="shared" si="27"/>
        <v>17</v>
      </c>
      <c r="F339" s="420" t="str">
        <f t="shared" si="28"/>
        <v>pm</v>
      </c>
      <c r="G339" s="420" t="s">
        <v>933</v>
      </c>
      <c r="H339" s="420" t="s">
        <v>261</v>
      </c>
      <c r="I339" s="420" t="s">
        <v>934</v>
      </c>
      <c r="K339" s="421">
        <f t="shared" si="29"/>
        <v>2844.0129082224389</v>
      </c>
      <c r="M339" s="421">
        <v>2800</v>
      </c>
      <c r="P339" s="420">
        <v>2844.0129082224389</v>
      </c>
    </row>
    <row r="340" spans="1:16" x14ac:dyDescent="0.3">
      <c r="A340" s="420">
        <v>7</v>
      </c>
      <c r="C340" s="420">
        <f t="shared" si="25"/>
        <v>3</v>
      </c>
      <c r="D340" s="420">
        <f t="shared" si="26"/>
        <v>3</v>
      </c>
      <c r="E340" s="420">
        <f t="shared" si="27"/>
        <v>17</v>
      </c>
      <c r="F340" s="420" t="str">
        <f t="shared" si="28"/>
        <v>pm</v>
      </c>
      <c r="G340" s="420" t="s">
        <v>935</v>
      </c>
      <c r="H340" s="420" t="s">
        <v>416</v>
      </c>
      <c r="I340" s="420" t="s">
        <v>936</v>
      </c>
      <c r="K340" s="421">
        <f t="shared" si="29"/>
        <v>2714.9188943519134</v>
      </c>
      <c r="M340" s="421">
        <v>2800</v>
      </c>
      <c r="O340" s="420">
        <v>2749.346112386957</v>
      </c>
      <c r="P340" s="420">
        <v>2714.9188943519134</v>
      </c>
    </row>
    <row r="341" spans="1:16" x14ac:dyDescent="0.3">
      <c r="A341" s="420">
        <v>5</v>
      </c>
      <c r="C341" s="420">
        <f t="shared" si="25"/>
        <v>4</v>
      </c>
      <c r="D341" s="420">
        <f t="shared" si="26"/>
        <v>4</v>
      </c>
      <c r="E341" s="420">
        <f t="shared" si="27"/>
        <v>17</v>
      </c>
      <c r="F341" s="420" t="str">
        <f t="shared" si="28"/>
        <v>pm</v>
      </c>
      <c r="G341" s="420" t="s">
        <v>937</v>
      </c>
      <c r="H341" s="420" t="s">
        <v>224</v>
      </c>
      <c r="I341" s="420" t="s">
        <v>938</v>
      </c>
      <c r="K341" s="421">
        <f t="shared" si="29"/>
        <v>2742.4478838984464</v>
      </c>
      <c r="M341" s="421">
        <v>2800</v>
      </c>
      <c r="O341" s="420">
        <v>2742.4478838984464</v>
      </c>
    </row>
    <row r="342" spans="1:16" x14ac:dyDescent="0.3">
      <c r="A342" s="420">
        <v>2</v>
      </c>
      <c r="C342" s="420">
        <f t="shared" si="25"/>
        <v>5</v>
      </c>
      <c r="D342" s="420">
        <f t="shared" si="26"/>
        <v>5</v>
      </c>
      <c r="E342" s="420">
        <f t="shared" si="27"/>
        <v>17</v>
      </c>
      <c r="F342" s="420" t="str">
        <f t="shared" si="28"/>
        <v>pm</v>
      </c>
      <c r="G342" s="420" t="s">
        <v>939</v>
      </c>
      <c r="H342" s="420" t="s">
        <v>663</v>
      </c>
      <c r="I342" s="420" t="s">
        <v>940</v>
      </c>
      <c r="K342" s="421">
        <f t="shared" si="29"/>
        <v>2800</v>
      </c>
      <c r="M342" s="421">
        <v>2800</v>
      </c>
    </row>
    <row r="343" spans="1:16" x14ac:dyDescent="0.3">
      <c r="A343" s="420">
        <v>2</v>
      </c>
      <c r="C343" s="420">
        <f t="shared" si="25"/>
        <v>6</v>
      </c>
      <c r="D343" s="420">
        <f t="shared" si="26"/>
        <v>6</v>
      </c>
      <c r="E343" s="420">
        <f t="shared" si="27"/>
        <v>17</v>
      </c>
      <c r="F343" s="420" t="str">
        <f t="shared" si="28"/>
        <v>pm</v>
      </c>
      <c r="G343" s="420" t="s">
        <v>941</v>
      </c>
      <c r="H343" s="420" t="s">
        <v>215</v>
      </c>
      <c r="I343" s="420" t="s">
        <v>942</v>
      </c>
      <c r="K343" s="421">
        <f t="shared" si="29"/>
        <v>2938.7757085360536</v>
      </c>
      <c r="M343" s="421">
        <v>2800</v>
      </c>
      <c r="P343" s="420">
        <v>2938.7757085360536</v>
      </c>
    </row>
    <row r="344" spans="1:16" x14ac:dyDescent="0.3">
      <c r="A344" s="420">
        <v>2</v>
      </c>
      <c r="C344" s="420">
        <f t="shared" si="25"/>
        <v>7</v>
      </c>
      <c r="D344" s="420">
        <f t="shared" si="26"/>
        <v>7</v>
      </c>
      <c r="E344" s="420">
        <f t="shared" si="27"/>
        <v>17</v>
      </c>
      <c r="F344" s="420" t="str">
        <f t="shared" si="28"/>
        <v>pm</v>
      </c>
      <c r="G344" s="420" t="s">
        <v>943</v>
      </c>
      <c r="H344" s="420" t="s">
        <v>288</v>
      </c>
      <c r="I344" s="420" t="s">
        <v>944</v>
      </c>
      <c r="K344" s="421">
        <f t="shared" si="29"/>
        <v>2800</v>
      </c>
      <c r="M344" s="421">
        <v>2800</v>
      </c>
    </row>
    <row r="345" spans="1:16" x14ac:dyDescent="0.3">
      <c r="A345" s="420">
        <v>5</v>
      </c>
      <c r="C345" s="420">
        <f t="shared" si="25"/>
        <v>8</v>
      </c>
      <c r="D345" s="420">
        <f t="shared" si="26"/>
        <v>8</v>
      </c>
      <c r="E345" s="420">
        <f t="shared" si="27"/>
        <v>17</v>
      </c>
      <c r="F345" s="420" t="str">
        <f t="shared" si="28"/>
        <v>pm</v>
      </c>
      <c r="G345" s="420" t="s">
        <v>945</v>
      </c>
      <c r="H345" s="420" t="s">
        <v>288</v>
      </c>
      <c r="I345" s="420" t="s">
        <v>946</v>
      </c>
      <c r="K345" s="421">
        <f t="shared" si="29"/>
        <v>2776.2225468947754</v>
      </c>
      <c r="M345" s="421">
        <v>2800</v>
      </c>
      <c r="O345" s="420">
        <v>2776.2225468947754</v>
      </c>
    </row>
    <row r="346" spans="1:16" x14ac:dyDescent="0.3">
      <c r="A346" s="420">
        <v>3</v>
      </c>
      <c r="C346" s="420">
        <f t="shared" si="25"/>
        <v>9</v>
      </c>
      <c r="D346" s="420">
        <f t="shared" si="26"/>
        <v>9</v>
      </c>
      <c r="E346" s="420">
        <f t="shared" si="27"/>
        <v>17</v>
      </c>
      <c r="F346" s="420" t="str">
        <f t="shared" si="28"/>
        <v>pm</v>
      </c>
      <c r="G346" s="420" t="s">
        <v>947</v>
      </c>
      <c r="H346" s="420" t="s">
        <v>221</v>
      </c>
      <c r="I346" s="420" t="s">
        <v>948</v>
      </c>
      <c r="K346" s="421">
        <f t="shared" si="29"/>
        <v>2800</v>
      </c>
      <c r="M346" s="421">
        <v>2800</v>
      </c>
    </row>
    <row r="347" spans="1:16" x14ac:dyDescent="0.3">
      <c r="A347" s="420">
        <v>2</v>
      </c>
      <c r="C347" s="420">
        <f t="shared" si="25"/>
        <v>10</v>
      </c>
      <c r="D347" s="420">
        <f t="shared" si="26"/>
        <v>10</v>
      </c>
      <c r="E347" s="420">
        <f t="shared" si="27"/>
        <v>17</v>
      </c>
      <c r="F347" s="420" t="str">
        <f t="shared" si="28"/>
        <v>cr</v>
      </c>
      <c r="G347" s="420" t="s">
        <v>949</v>
      </c>
      <c r="H347" s="420" t="s">
        <v>203</v>
      </c>
      <c r="I347" s="420" t="s">
        <v>950</v>
      </c>
      <c r="K347" s="421">
        <f t="shared" si="29"/>
        <v>2834.658355825698</v>
      </c>
      <c r="M347" s="421">
        <v>2800</v>
      </c>
      <c r="O347" s="420">
        <v>2834.658355825698</v>
      </c>
    </row>
    <row r="348" spans="1:16" x14ac:dyDescent="0.3">
      <c r="A348" s="420">
        <v>1</v>
      </c>
      <c r="C348" s="420">
        <f t="shared" si="25"/>
        <v>11</v>
      </c>
      <c r="D348" s="420">
        <f t="shared" si="26"/>
        <v>11</v>
      </c>
      <c r="E348" s="420">
        <f t="shared" si="27"/>
        <v>17</v>
      </c>
      <c r="F348" s="420" t="str">
        <f t="shared" si="28"/>
        <v>crx</v>
      </c>
      <c r="G348" s="420" t="s">
        <v>951</v>
      </c>
      <c r="H348" s="420" t="s">
        <v>372</v>
      </c>
      <c r="I348" s="420" t="s">
        <v>952</v>
      </c>
      <c r="K348" s="421">
        <f t="shared" si="29"/>
        <v>2800</v>
      </c>
      <c r="M348" s="421">
        <v>2800</v>
      </c>
    </row>
    <row r="349" spans="1:16" x14ac:dyDescent="0.3">
      <c r="A349" s="420">
        <v>1</v>
      </c>
      <c r="C349" s="420">
        <f t="shared" si="25"/>
        <v>12</v>
      </c>
      <c r="D349" s="420">
        <f t="shared" si="26"/>
        <v>11</v>
      </c>
      <c r="E349" s="420">
        <f t="shared" si="27"/>
        <v>17</v>
      </c>
      <c r="F349" s="420" t="str">
        <f t="shared" si="28"/>
        <v>sox</v>
      </c>
      <c r="G349" s="420" t="s">
        <v>953</v>
      </c>
      <c r="H349" s="420" t="s">
        <v>696</v>
      </c>
      <c r="I349" s="420" t="s">
        <v>954</v>
      </c>
      <c r="K349" s="421">
        <f t="shared" si="29"/>
        <v>2800</v>
      </c>
      <c r="M349" s="421">
        <v>2800</v>
      </c>
    </row>
    <row r="350" spans="1:16" x14ac:dyDescent="0.3">
      <c r="A350" s="420">
        <v>1</v>
      </c>
      <c r="C350" s="420">
        <f t="shared" si="25"/>
        <v>13</v>
      </c>
      <c r="D350" s="420">
        <f t="shared" si="26"/>
        <v>11</v>
      </c>
      <c r="E350" s="420">
        <f t="shared" si="27"/>
        <v>17</v>
      </c>
      <c r="F350" s="420" t="str">
        <f t="shared" si="28"/>
        <v>sox</v>
      </c>
      <c r="G350" s="420" t="s">
        <v>955</v>
      </c>
      <c r="H350" s="420" t="s">
        <v>696</v>
      </c>
      <c r="I350" s="420" t="s">
        <v>956</v>
      </c>
      <c r="K350" s="421">
        <f t="shared" si="29"/>
        <v>2800</v>
      </c>
      <c r="M350" s="421">
        <v>2800</v>
      </c>
    </row>
    <row r="351" spans="1:16" x14ac:dyDescent="0.3">
      <c r="A351" s="420">
        <v>2</v>
      </c>
      <c r="C351" s="420">
        <f t="shared" si="25"/>
        <v>14</v>
      </c>
      <c r="D351" s="420">
        <f t="shared" si="26"/>
        <v>11</v>
      </c>
      <c r="E351" s="420">
        <f t="shared" si="27"/>
        <v>17</v>
      </c>
      <c r="F351" s="420" t="str">
        <f t="shared" si="28"/>
        <v>pm</v>
      </c>
      <c r="G351" s="420" t="s">
        <v>957</v>
      </c>
      <c r="H351" s="420" t="s">
        <v>224</v>
      </c>
      <c r="I351" s="420" t="s">
        <v>958</v>
      </c>
      <c r="K351" s="421">
        <f t="shared" si="29"/>
        <v>2800</v>
      </c>
      <c r="M351" s="421">
        <v>2800</v>
      </c>
    </row>
    <row r="352" spans="1:16" x14ac:dyDescent="0.3">
      <c r="A352" s="420">
        <v>4</v>
      </c>
      <c r="C352" s="420">
        <f t="shared" si="25"/>
        <v>15</v>
      </c>
      <c r="D352" s="420">
        <f t="shared" si="26"/>
        <v>15</v>
      </c>
      <c r="E352" s="420">
        <f t="shared" si="27"/>
        <v>17</v>
      </c>
      <c r="F352" s="420" t="str">
        <f t="shared" si="28"/>
        <v>so</v>
      </c>
      <c r="G352" s="420" t="s">
        <v>959</v>
      </c>
      <c r="H352" s="420" t="s">
        <v>636</v>
      </c>
      <c r="I352" s="420" t="s">
        <v>960</v>
      </c>
      <c r="K352" s="421">
        <f t="shared" si="29"/>
        <v>2773.7981839155022</v>
      </c>
      <c r="M352" s="421">
        <v>2700</v>
      </c>
      <c r="O352" s="420">
        <v>2773.7981839155022</v>
      </c>
    </row>
    <row r="353" spans="1:16" x14ac:dyDescent="0.3">
      <c r="A353" s="420">
        <v>2</v>
      </c>
      <c r="C353" s="420">
        <f t="shared" si="25"/>
        <v>16</v>
      </c>
      <c r="D353" s="420">
        <f t="shared" si="26"/>
        <v>16</v>
      </c>
      <c r="E353" s="420">
        <f t="shared" si="27"/>
        <v>17</v>
      </c>
      <c r="F353" s="420" t="str">
        <f t="shared" si="28"/>
        <v>pm</v>
      </c>
      <c r="G353" s="420" t="s">
        <v>961</v>
      </c>
      <c r="H353" s="420" t="s">
        <v>727</v>
      </c>
      <c r="I353" s="420" t="s">
        <v>962</v>
      </c>
      <c r="K353" s="421">
        <f t="shared" si="29"/>
        <v>2649.6936331387928</v>
      </c>
      <c r="M353" s="421">
        <v>2600</v>
      </c>
      <c r="N353" s="420">
        <v>2649.6936331387928</v>
      </c>
    </row>
    <row r="354" spans="1:16" x14ac:dyDescent="0.3">
      <c r="A354" s="420">
        <v>6</v>
      </c>
      <c r="C354" s="420">
        <f t="shared" si="25"/>
        <v>17</v>
      </c>
      <c r="D354" s="420">
        <f t="shared" si="26"/>
        <v>17</v>
      </c>
      <c r="E354" s="420">
        <f t="shared" si="27"/>
        <v>17</v>
      </c>
      <c r="F354" s="420" t="str">
        <f t="shared" si="28"/>
        <v>pm</v>
      </c>
      <c r="G354" s="420" t="s">
        <v>963</v>
      </c>
      <c r="H354" s="420" t="s">
        <v>539</v>
      </c>
      <c r="I354" s="420" t="s">
        <v>964</v>
      </c>
      <c r="K354" s="421">
        <f t="shared" si="29"/>
        <v>2603.5447609677722</v>
      </c>
      <c r="M354" s="421">
        <v>2600</v>
      </c>
      <c r="P354" s="420">
        <v>2603.5447609677722</v>
      </c>
    </row>
    <row r="355" spans="1:16" x14ac:dyDescent="0.3">
      <c r="A355" s="420">
        <v>2</v>
      </c>
      <c r="C355" s="420">
        <f t="shared" si="25"/>
        <v>18</v>
      </c>
      <c r="D355" s="420">
        <f t="shared" si="26"/>
        <v>18</v>
      </c>
      <c r="E355" s="420">
        <f t="shared" si="27"/>
        <v>17</v>
      </c>
      <c r="F355" s="420" t="str">
        <f t="shared" si="28"/>
        <v>pm</v>
      </c>
      <c r="G355" s="420" t="s">
        <v>965</v>
      </c>
      <c r="H355" s="420" t="s">
        <v>227</v>
      </c>
      <c r="I355" s="420" t="s">
        <v>966</v>
      </c>
      <c r="K355" s="421">
        <f t="shared" si="29"/>
        <v>2600</v>
      </c>
      <c r="M355" s="421">
        <v>2600</v>
      </c>
    </row>
    <row r="356" spans="1:16" x14ac:dyDescent="0.3">
      <c r="A356" s="420">
        <v>2</v>
      </c>
      <c r="C356" s="420">
        <f t="shared" si="25"/>
        <v>19</v>
      </c>
      <c r="D356" s="420">
        <f t="shared" si="26"/>
        <v>18</v>
      </c>
      <c r="E356" s="420">
        <f t="shared" si="27"/>
        <v>17</v>
      </c>
      <c r="F356" s="420" t="str">
        <f t="shared" si="28"/>
        <v>fl</v>
      </c>
      <c r="G356" s="420" t="s">
        <v>967</v>
      </c>
      <c r="H356" s="420" t="s">
        <v>724</v>
      </c>
      <c r="I356" s="420" t="s">
        <v>968</v>
      </c>
      <c r="K356" s="421">
        <f t="shared" si="29"/>
        <v>2600</v>
      </c>
      <c r="M356" s="421">
        <v>2600</v>
      </c>
    </row>
    <row r="357" spans="1:16" x14ac:dyDescent="0.3">
      <c r="A357" s="420">
        <v>3</v>
      </c>
      <c r="C357" s="420">
        <f t="shared" si="25"/>
        <v>20</v>
      </c>
      <c r="D357" s="420">
        <f t="shared" si="26"/>
        <v>20</v>
      </c>
      <c r="E357" s="420">
        <f t="shared" si="27"/>
        <v>17</v>
      </c>
      <c r="F357" s="420" t="str">
        <f t="shared" si="28"/>
        <v>pm</v>
      </c>
      <c r="G357" s="420" t="s">
        <v>969</v>
      </c>
      <c r="H357" s="420" t="s">
        <v>534</v>
      </c>
      <c r="I357" s="420" t="s">
        <v>970</v>
      </c>
      <c r="K357" s="421">
        <f t="shared" si="29"/>
        <v>2533.3333333333335</v>
      </c>
      <c r="M357" s="421">
        <v>2533.3333333333335</v>
      </c>
    </row>
    <row r="358" spans="1:16" ht="16.2" customHeight="1" x14ac:dyDescent="0.3">
      <c r="A358" s="420">
        <v>6</v>
      </c>
      <c r="C358" s="420">
        <f t="shared" si="25"/>
        <v>21</v>
      </c>
      <c r="D358" s="420">
        <f t="shared" si="26"/>
        <v>21</v>
      </c>
      <c r="E358" s="420">
        <f t="shared" si="27"/>
        <v>17</v>
      </c>
      <c r="F358" s="420" t="str">
        <f t="shared" si="28"/>
        <v>pm</v>
      </c>
      <c r="G358" s="420" t="s">
        <v>971</v>
      </c>
      <c r="H358" s="420" t="s">
        <v>305</v>
      </c>
      <c r="I358" s="420" t="s">
        <v>972</v>
      </c>
      <c r="K358" s="421">
        <f t="shared" si="29"/>
        <v>2500.4482807265576</v>
      </c>
      <c r="M358" s="421">
        <v>2466.6666666666665</v>
      </c>
      <c r="N358" s="420">
        <v>2433.3004749481729</v>
      </c>
      <c r="P358" s="420">
        <v>2500.4482807265576</v>
      </c>
    </row>
    <row r="359" spans="1:16" x14ac:dyDescent="0.3">
      <c r="A359" s="420">
        <v>4</v>
      </c>
      <c r="C359" s="420">
        <f>IF(E359=E394,C394+1,1)</f>
        <v>1</v>
      </c>
      <c r="D359" s="420">
        <f>IF(K359=K394,D394,C359)</f>
        <v>1</v>
      </c>
      <c r="E359" s="420">
        <f t="shared" si="27"/>
        <v>17</v>
      </c>
      <c r="F359" s="420" t="str">
        <f t="shared" si="28"/>
        <v>pm</v>
      </c>
      <c r="G359" s="420" t="s">
        <v>973</v>
      </c>
      <c r="H359" s="420" t="s">
        <v>554</v>
      </c>
      <c r="I359" s="420" t="s">
        <v>974</v>
      </c>
      <c r="K359" s="421">
        <f t="shared" si="29"/>
        <v>2323.6703423752951</v>
      </c>
      <c r="M359" s="421">
        <v>2400</v>
      </c>
      <c r="N359" s="420">
        <v>2323.6703423752951</v>
      </c>
    </row>
    <row r="360" spans="1:16" x14ac:dyDescent="0.3">
      <c r="A360" s="420">
        <v>2</v>
      </c>
      <c r="C360" s="420">
        <f t="shared" si="25"/>
        <v>2</v>
      </c>
      <c r="D360" s="420">
        <f t="shared" si="26"/>
        <v>2</v>
      </c>
      <c r="E360" s="420">
        <f t="shared" si="27"/>
        <v>17</v>
      </c>
      <c r="F360" s="420" t="str">
        <f t="shared" si="28"/>
        <v>pm</v>
      </c>
      <c r="G360" s="420" t="s">
        <v>975</v>
      </c>
      <c r="H360" s="420" t="s">
        <v>250</v>
      </c>
      <c r="I360" s="420" t="s">
        <v>976</v>
      </c>
      <c r="K360" s="421">
        <f t="shared" si="29"/>
        <v>2443.9246853858785</v>
      </c>
      <c r="M360" s="421">
        <v>2400</v>
      </c>
      <c r="N360" s="420">
        <v>2443.9246853858785</v>
      </c>
    </row>
    <row r="361" spans="1:16" x14ac:dyDescent="0.3">
      <c r="A361" s="420">
        <v>4</v>
      </c>
      <c r="C361" s="420">
        <f t="shared" si="25"/>
        <v>3</v>
      </c>
      <c r="D361" s="420">
        <f t="shared" si="26"/>
        <v>3</v>
      </c>
      <c r="E361" s="420">
        <f t="shared" si="27"/>
        <v>17</v>
      </c>
      <c r="F361" s="420" t="str">
        <f t="shared" si="28"/>
        <v>pm</v>
      </c>
      <c r="G361" s="420" t="s">
        <v>977</v>
      </c>
      <c r="H361" s="420" t="s">
        <v>267</v>
      </c>
      <c r="I361" s="420" t="s">
        <v>978</v>
      </c>
      <c r="K361" s="421">
        <f t="shared" si="29"/>
        <v>2346.5420003592371</v>
      </c>
      <c r="M361" s="421">
        <v>2400</v>
      </c>
      <c r="N361" s="420">
        <v>2346.5420003592371</v>
      </c>
    </row>
    <row r="362" spans="1:16" x14ac:dyDescent="0.3">
      <c r="A362" s="420">
        <v>6</v>
      </c>
      <c r="C362" s="420">
        <f t="shared" si="25"/>
        <v>4</v>
      </c>
      <c r="D362" s="420">
        <f t="shared" si="26"/>
        <v>4</v>
      </c>
      <c r="E362" s="420">
        <f t="shared" si="27"/>
        <v>17</v>
      </c>
      <c r="F362" s="420" t="str">
        <f t="shared" si="28"/>
        <v>pm</v>
      </c>
      <c r="G362" s="420" t="s">
        <v>979</v>
      </c>
      <c r="H362" s="420" t="s">
        <v>224</v>
      </c>
      <c r="I362" s="420" t="s">
        <v>980</v>
      </c>
      <c r="K362" s="421">
        <f t="shared" si="29"/>
        <v>2355.1523846005416</v>
      </c>
      <c r="M362" s="421">
        <v>2400</v>
      </c>
      <c r="P362" s="420">
        <v>2355.1523846005416</v>
      </c>
    </row>
    <row r="363" spans="1:16" x14ac:dyDescent="0.3">
      <c r="A363" s="420">
        <v>2</v>
      </c>
      <c r="C363" s="420">
        <f t="shared" si="25"/>
        <v>5</v>
      </c>
      <c r="D363" s="420">
        <f t="shared" si="26"/>
        <v>5</v>
      </c>
      <c r="E363" s="420">
        <f t="shared" si="27"/>
        <v>17</v>
      </c>
      <c r="F363" s="420" t="str">
        <f t="shared" si="28"/>
        <v>pm</v>
      </c>
      <c r="G363" s="420" t="s">
        <v>981</v>
      </c>
      <c r="H363" s="420" t="s">
        <v>331</v>
      </c>
      <c r="I363" s="420" t="s">
        <v>982</v>
      </c>
      <c r="K363" s="421">
        <f t="shared" si="29"/>
        <v>2400</v>
      </c>
      <c r="M363" s="421">
        <v>2400</v>
      </c>
    </row>
    <row r="364" spans="1:16" x14ac:dyDescent="0.3">
      <c r="A364" s="420">
        <v>6</v>
      </c>
      <c r="C364" s="420">
        <f t="shared" si="25"/>
        <v>6</v>
      </c>
      <c r="D364" s="420">
        <f t="shared" si="26"/>
        <v>6</v>
      </c>
      <c r="E364" s="420">
        <f t="shared" si="27"/>
        <v>17</v>
      </c>
      <c r="F364" s="420" t="str">
        <f t="shared" si="28"/>
        <v>pm</v>
      </c>
      <c r="G364" s="420" t="s">
        <v>983</v>
      </c>
      <c r="H364" s="420" t="s">
        <v>288</v>
      </c>
      <c r="I364" s="420" t="s">
        <v>984</v>
      </c>
      <c r="K364" s="421">
        <f t="shared" si="29"/>
        <v>2442.0548160773888</v>
      </c>
      <c r="M364" s="421">
        <v>2400</v>
      </c>
      <c r="P364" s="420">
        <v>2442.0548160773888</v>
      </c>
    </row>
    <row r="365" spans="1:16" x14ac:dyDescent="0.3">
      <c r="A365" s="420">
        <v>1</v>
      </c>
      <c r="C365" s="420">
        <f t="shared" si="25"/>
        <v>7</v>
      </c>
      <c r="D365" s="420">
        <f t="shared" si="26"/>
        <v>7</v>
      </c>
      <c r="E365" s="420">
        <f t="shared" si="27"/>
        <v>17</v>
      </c>
      <c r="F365" s="420" t="str">
        <f t="shared" si="28"/>
        <v>crx</v>
      </c>
      <c r="G365" s="420" t="s">
        <v>985</v>
      </c>
      <c r="H365" s="420" t="s">
        <v>605</v>
      </c>
      <c r="I365" s="420" t="s">
        <v>986</v>
      </c>
      <c r="K365" s="421">
        <f t="shared" si="29"/>
        <v>2477.4754086221396</v>
      </c>
      <c r="M365" s="421">
        <v>2400</v>
      </c>
      <c r="N365" s="420">
        <v>2477.4754086221396</v>
      </c>
    </row>
    <row r="366" spans="1:16" x14ac:dyDescent="0.3">
      <c r="A366" s="420">
        <v>3</v>
      </c>
      <c r="C366" s="420">
        <f t="shared" si="25"/>
        <v>8</v>
      </c>
      <c r="D366" s="420">
        <f t="shared" si="26"/>
        <v>8</v>
      </c>
      <c r="E366" s="420">
        <f t="shared" si="27"/>
        <v>17</v>
      </c>
      <c r="F366" s="420" t="str">
        <f t="shared" si="28"/>
        <v>cr</v>
      </c>
      <c r="G366" s="420" t="s">
        <v>987</v>
      </c>
      <c r="H366" s="420" t="s">
        <v>203</v>
      </c>
      <c r="I366" s="420" t="s">
        <v>988</v>
      </c>
      <c r="K366" s="421">
        <f t="shared" si="29"/>
        <v>2400</v>
      </c>
      <c r="M366" s="421">
        <v>2400</v>
      </c>
    </row>
    <row r="367" spans="1:16" x14ac:dyDescent="0.3">
      <c r="A367" s="420">
        <v>1</v>
      </c>
      <c r="C367" s="420">
        <f t="shared" si="25"/>
        <v>9</v>
      </c>
      <c r="D367" s="420">
        <f t="shared" si="26"/>
        <v>8</v>
      </c>
      <c r="E367" s="420">
        <f t="shared" si="27"/>
        <v>17</v>
      </c>
      <c r="F367" s="420" t="str">
        <f t="shared" si="28"/>
        <v>crx</v>
      </c>
      <c r="G367" s="420" t="s">
        <v>989</v>
      </c>
      <c r="H367" s="420" t="s">
        <v>990</v>
      </c>
      <c r="I367" s="420" t="s">
        <v>991</v>
      </c>
      <c r="K367" s="421">
        <f t="shared" si="29"/>
        <v>2400</v>
      </c>
      <c r="M367" s="421">
        <v>2400</v>
      </c>
    </row>
    <row r="368" spans="1:16" x14ac:dyDescent="0.3">
      <c r="A368" s="420">
        <v>1</v>
      </c>
      <c r="C368" s="420">
        <f t="shared" si="25"/>
        <v>10</v>
      </c>
      <c r="D368" s="420">
        <f t="shared" si="26"/>
        <v>8</v>
      </c>
      <c r="E368" s="420">
        <f t="shared" si="27"/>
        <v>17</v>
      </c>
      <c r="F368" s="420" t="str">
        <f t="shared" si="28"/>
        <v>crx</v>
      </c>
      <c r="G368" s="420" t="s">
        <v>992</v>
      </c>
      <c r="H368" s="420" t="s">
        <v>197</v>
      </c>
      <c r="I368" s="420" t="s">
        <v>993</v>
      </c>
      <c r="K368" s="421">
        <f t="shared" si="29"/>
        <v>2400</v>
      </c>
      <c r="M368" s="421">
        <v>2400</v>
      </c>
    </row>
    <row r="369" spans="1:16" x14ac:dyDescent="0.3">
      <c r="A369" s="420">
        <v>2</v>
      </c>
      <c r="C369" s="420">
        <f t="shared" si="25"/>
        <v>11</v>
      </c>
      <c r="D369" s="420">
        <f t="shared" si="26"/>
        <v>8</v>
      </c>
      <c r="E369" s="420">
        <f t="shared" si="27"/>
        <v>17</v>
      </c>
      <c r="F369" s="420" t="str">
        <f t="shared" si="28"/>
        <v>so</v>
      </c>
      <c r="G369" s="420" t="s">
        <v>994</v>
      </c>
      <c r="H369" s="420" t="s">
        <v>636</v>
      </c>
      <c r="I369" s="420" t="s">
        <v>995</v>
      </c>
      <c r="K369" s="421">
        <f t="shared" si="29"/>
        <v>2400</v>
      </c>
      <c r="M369" s="421">
        <v>2400</v>
      </c>
    </row>
    <row r="370" spans="1:16" x14ac:dyDescent="0.3">
      <c r="A370" s="420">
        <v>3</v>
      </c>
      <c r="C370" s="420">
        <f t="shared" si="25"/>
        <v>1</v>
      </c>
      <c r="D370" s="420">
        <f t="shared" si="26"/>
        <v>1</v>
      </c>
      <c r="E370" s="420">
        <f t="shared" si="27"/>
        <v>18</v>
      </c>
      <c r="F370" s="420" t="str">
        <f t="shared" si="28"/>
        <v>pm</v>
      </c>
      <c r="G370" s="420" t="s">
        <v>996</v>
      </c>
      <c r="H370" s="420" t="s">
        <v>539</v>
      </c>
      <c r="I370" s="420" t="s">
        <v>997</v>
      </c>
      <c r="K370" s="421">
        <f t="shared" si="29"/>
        <v>3000</v>
      </c>
      <c r="M370" s="421">
        <v>3000</v>
      </c>
    </row>
    <row r="371" spans="1:16" x14ac:dyDescent="0.3">
      <c r="A371" s="420">
        <v>1</v>
      </c>
      <c r="C371" s="420">
        <f t="shared" si="25"/>
        <v>2</v>
      </c>
      <c r="D371" s="420">
        <f t="shared" si="26"/>
        <v>2</v>
      </c>
      <c r="E371" s="420">
        <f t="shared" si="27"/>
        <v>18</v>
      </c>
      <c r="F371" s="420" t="str">
        <f t="shared" si="28"/>
        <v>pmx</v>
      </c>
      <c r="G371" s="420" t="s">
        <v>998</v>
      </c>
      <c r="H371" s="420" t="s">
        <v>206</v>
      </c>
      <c r="I371" s="420" t="s">
        <v>999</v>
      </c>
      <c r="K371" s="421">
        <f t="shared" si="29"/>
        <v>3011.156851018934</v>
      </c>
      <c r="M371" s="421">
        <v>3000</v>
      </c>
      <c r="P371" s="420">
        <v>3011.156851018934</v>
      </c>
    </row>
    <row r="372" spans="1:16" x14ac:dyDescent="0.3">
      <c r="A372" s="420">
        <v>3</v>
      </c>
      <c r="C372" s="420">
        <f t="shared" si="25"/>
        <v>3</v>
      </c>
      <c r="D372" s="420">
        <f t="shared" si="26"/>
        <v>3</v>
      </c>
      <c r="E372" s="420">
        <f t="shared" si="27"/>
        <v>18</v>
      </c>
      <c r="F372" s="420" t="str">
        <f t="shared" si="28"/>
        <v>pm</v>
      </c>
      <c r="G372" s="420" t="s">
        <v>1000</v>
      </c>
      <c r="H372" s="420" t="s">
        <v>243</v>
      </c>
      <c r="I372" s="420" t="s">
        <v>1001</v>
      </c>
      <c r="K372" s="421">
        <f t="shared" si="29"/>
        <v>3052.4034884576249</v>
      </c>
      <c r="M372" s="421">
        <v>3000</v>
      </c>
      <c r="P372" s="420">
        <v>3052.4034884576249</v>
      </c>
    </row>
    <row r="373" spans="1:16" x14ac:dyDescent="0.3">
      <c r="A373" s="420">
        <v>7</v>
      </c>
      <c r="C373" s="420">
        <f t="shared" si="25"/>
        <v>4</v>
      </c>
      <c r="D373" s="420">
        <f t="shared" si="26"/>
        <v>4</v>
      </c>
      <c r="E373" s="420">
        <f t="shared" si="27"/>
        <v>18</v>
      </c>
      <c r="F373" s="420" t="str">
        <f t="shared" si="28"/>
        <v>pm</v>
      </c>
      <c r="G373" s="420" t="s">
        <v>1002</v>
      </c>
      <c r="H373" s="420" t="s">
        <v>278</v>
      </c>
      <c r="I373" s="420" t="s">
        <v>1003</v>
      </c>
      <c r="K373" s="421">
        <f t="shared" si="29"/>
        <v>3057.8410454728637</v>
      </c>
      <c r="M373" s="421">
        <v>3000</v>
      </c>
      <c r="O373" s="420">
        <v>3041.9807671510221</v>
      </c>
      <c r="P373" s="420">
        <v>3057.8410454728637</v>
      </c>
    </row>
    <row r="374" spans="1:16" x14ac:dyDescent="0.3">
      <c r="A374" s="420">
        <v>7</v>
      </c>
      <c r="C374" s="420">
        <f t="shared" si="25"/>
        <v>5</v>
      </c>
      <c r="D374" s="420">
        <f t="shared" si="26"/>
        <v>5</v>
      </c>
      <c r="E374" s="420">
        <f t="shared" si="27"/>
        <v>18</v>
      </c>
      <c r="F374" s="420" t="str">
        <f t="shared" si="28"/>
        <v>pm</v>
      </c>
      <c r="G374" s="420" t="s">
        <v>1004</v>
      </c>
      <c r="H374" s="420" t="s">
        <v>278</v>
      </c>
      <c r="I374" s="420" t="s">
        <v>1005</v>
      </c>
      <c r="K374" s="421">
        <f t="shared" si="29"/>
        <v>2862.3746207039353</v>
      </c>
      <c r="M374" s="421">
        <v>3000</v>
      </c>
      <c r="O374" s="420">
        <v>2918.7916428536187</v>
      </c>
      <c r="P374" s="420">
        <v>2862.3746207039353</v>
      </c>
    </row>
    <row r="375" spans="1:16" x14ac:dyDescent="0.3">
      <c r="A375" s="420">
        <v>2</v>
      </c>
      <c r="C375" s="420">
        <f t="shared" si="25"/>
        <v>6</v>
      </c>
      <c r="D375" s="420">
        <f t="shared" si="26"/>
        <v>6</v>
      </c>
      <c r="E375" s="420">
        <f t="shared" si="27"/>
        <v>18</v>
      </c>
      <c r="F375" s="420" t="str">
        <f t="shared" si="28"/>
        <v>pm</v>
      </c>
      <c r="G375" s="420" t="s">
        <v>1006</v>
      </c>
      <c r="H375" s="420" t="s">
        <v>349</v>
      </c>
      <c r="I375" s="420" t="s">
        <v>1007</v>
      </c>
      <c r="K375" s="421">
        <f t="shared" si="29"/>
        <v>2940.4015103432962</v>
      </c>
      <c r="M375" s="421">
        <v>3000</v>
      </c>
      <c r="P375" s="420">
        <v>2940.4015103432962</v>
      </c>
    </row>
    <row r="376" spans="1:16" x14ac:dyDescent="0.3">
      <c r="A376" s="420">
        <v>5</v>
      </c>
      <c r="C376" s="420">
        <f t="shared" si="25"/>
        <v>7</v>
      </c>
      <c r="D376" s="420">
        <f t="shared" si="26"/>
        <v>7</v>
      </c>
      <c r="E376" s="420">
        <f t="shared" si="27"/>
        <v>18</v>
      </c>
      <c r="F376" s="420" t="str">
        <f t="shared" si="28"/>
        <v>pm</v>
      </c>
      <c r="G376" s="420" t="s">
        <v>1008</v>
      </c>
      <c r="H376" s="420" t="s">
        <v>715</v>
      </c>
      <c r="I376" s="420" t="s">
        <v>1009</v>
      </c>
      <c r="K376" s="421">
        <f t="shared" si="29"/>
        <v>2995.9428308489555</v>
      </c>
      <c r="M376" s="421">
        <v>3000</v>
      </c>
      <c r="P376" s="420">
        <v>2995.9428308489555</v>
      </c>
    </row>
    <row r="377" spans="1:16" x14ac:dyDescent="0.3">
      <c r="A377" s="420">
        <v>2</v>
      </c>
      <c r="C377" s="420">
        <f t="shared" si="25"/>
        <v>8</v>
      </c>
      <c r="D377" s="420">
        <f t="shared" si="26"/>
        <v>8</v>
      </c>
      <c r="E377" s="420">
        <f t="shared" si="27"/>
        <v>18</v>
      </c>
      <c r="F377" s="420" t="str">
        <f t="shared" si="28"/>
        <v>pm</v>
      </c>
      <c r="G377" s="420" t="s">
        <v>1010</v>
      </c>
      <c r="H377" s="420" t="s">
        <v>215</v>
      </c>
      <c r="I377" s="420" t="s">
        <v>1011</v>
      </c>
      <c r="K377" s="421">
        <f t="shared" si="29"/>
        <v>3115.0197027601071</v>
      </c>
      <c r="M377" s="421">
        <v>3000</v>
      </c>
      <c r="P377" s="420">
        <v>3115.0197027601071</v>
      </c>
    </row>
    <row r="378" spans="1:16" x14ac:dyDescent="0.3">
      <c r="A378" s="420">
        <v>2</v>
      </c>
      <c r="C378" s="420">
        <f t="shared" si="25"/>
        <v>9</v>
      </c>
      <c r="D378" s="420">
        <f t="shared" si="26"/>
        <v>9</v>
      </c>
      <c r="E378" s="420">
        <f t="shared" si="27"/>
        <v>18</v>
      </c>
      <c r="F378" s="420" t="str">
        <f t="shared" si="28"/>
        <v>pm</v>
      </c>
      <c r="G378" s="420" t="s">
        <v>1012</v>
      </c>
      <c r="H378" s="420" t="s">
        <v>215</v>
      </c>
      <c r="I378" s="420" t="s">
        <v>1013</v>
      </c>
      <c r="K378" s="421">
        <f t="shared" si="29"/>
        <v>2895.3037348332809</v>
      </c>
      <c r="M378" s="421">
        <v>3000</v>
      </c>
      <c r="P378" s="420">
        <v>2895.3037348332809</v>
      </c>
    </row>
    <row r="379" spans="1:16" x14ac:dyDescent="0.3">
      <c r="A379" s="420">
        <v>3</v>
      </c>
      <c r="C379" s="420">
        <f t="shared" si="25"/>
        <v>10</v>
      </c>
      <c r="D379" s="420">
        <f t="shared" si="26"/>
        <v>10</v>
      </c>
      <c r="E379" s="420">
        <f t="shared" si="27"/>
        <v>18</v>
      </c>
      <c r="F379" s="420" t="str">
        <f t="shared" si="28"/>
        <v>pm</v>
      </c>
      <c r="G379" s="420" t="s">
        <v>1014</v>
      </c>
      <c r="H379" s="420" t="s">
        <v>283</v>
      </c>
      <c r="I379" s="420" t="s">
        <v>1015</v>
      </c>
      <c r="K379" s="421">
        <f t="shared" si="29"/>
        <v>3053.6663858700913</v>
      </c>
      <c r="M379" s="421">
        <v>3000</v>
      </c>
      <c r="O379" s="420">
        <v>3053.6663858700913</v>
      </c>
    </row>
    <row r="380" spans="1:16" x14ac:dyDescent="0.3">
      <c r="A380" s="420">
        <v>2</v>
      </c>
      <c r="C380" s="420">
        <f t="shared" si="25"/>
        <v>11</v>
      </c>
      <c r="D380" s="420">
        <f t="shared" si="26"/>
        <v>11</v>
      </c>
      <c r="E380" s="420">
        <f t="shared" si="27"/>
        <v>18</v>
      </c>
      <c r="F380" s="420" t="str">
        <f t="shared" si="28"/>
        <v>pm</v>
      </c>
      <c r="G380" s="420" t="s">
        <v>1016</v>
      </c>
      <c r="H380" s="420" t="s">
        <v>288</v>
      </c>
      <c r="I380" s="420" t="s">
        <v>1017</v>
      </c>
      <c r="K380" s="421">
        <f t="shared" si="29"/>
        <v>3000</v>
      </c>
      <c r="M380" s="421">
        <v>3000</v>
      </c>
    </row>
    <row r="381" spans="1:16" x14ac:dyDescent="0.3">
      <c r="A381" s="420">
        <v>5</v>
      </c>
      <c r="C381" s="420">
        <f t="shared" si="25"/>
        <v>12</v>
      </c>
      <c r="D381" s="420">
        <f t="shared" si="26"/>
        <v>12</v>
      </c>
      <c r="E381" s="420">
        <f t="shared" si="27"/>
        <v>18</v>
      </c>
      <c r="F381" s="420" t="str">
        <f t="shared" si="28"/>
        <v>pm</v>
      </c>
      <c r="G381" s="420" t="s">
        <v>1018</v>
      </c>
      <c r="H381" s="420" t="s">
        <v>437</v>
      </c>
      <c r="I381" s="420" t="s">
        <v>1019</v>
      </c>
      <c r="K381" s="421">
        <f t="shared" si="29"/>
        <v>3012.2022182610085</v>
      </c>
      <c r="M381" s="421">
        <v>3000</v>
      </c>
      <c r="P381" s="420">
        <v>3012.2022182610085</v>
      </c>
    </row>
    <row r="382" spans="1:16" x14ac:dyDescent="0.3">
      <c r="A382" s="420">
        <v>2</v>
      </c>
      <c r="C382" s="420">
        <f t="shared" si="25"/>
        <v>13</v>
      </c>
      <c r="D382" s="420">
        <f t="shared" si="26"/>
        <v>13</v>
      </c>
      <c r="E382" s="420">
        <f t="shared" si="27"/>
        <v>18</v>
      </c>
      <c r="F382" s="420" t="str">
        <f t="shared" si="28"/>
        <v>pm</v>
      </c>
      <c r="G382" s="420" t="s">
        <v>1020</v>
      </c>
      <c r="H382" s="420" t="s">
        <v>491</v>
      </c>
      <c r="I382" s="420" t="s">
        <v>1021</v>
      </c>
      <c r="K382" s="421">
        <f t="shared" si="29"/>
        <v>3049.1452363505205</v>
      </c>
      <c r="M382" s="421">
        <v>3000</v>
      </c>
      <c r="P382" s="420">
        <v>3049.1452363505205</v>
      </c>
    </row>
    <row r="383" spans="1:16" x14ac:dyDescent="0.3">
      <c r="A383" s="420">
        <v>1</v>
      </c>
      <c r="C383" s="420">
        <f t="shared" si="25"/>
        <v>14</v>
      </c>
      <c r="D383" s="420">
        <f t="shared" si="26"/>
        <v>14</v>
      </c>
      <c r="E383" s="420">
        <f t="shared" si="27"/>
        <v>18</v>
      </c>
      <c r="F383" s="420" t="str">
        <f t="shared" si="28"/>
        <v>pmx</v>
      </c>
      <c r="G383" s="420" t="s">
        <v>1022</v>
      </c>
      <c r="H383" s="420" t="s">
        <v>227</v>
      </c>
      <c r="I383" s="420" t="s">
        <v>1023</v>
      </c>
      <c r="K383" s="421">
        <f t="shared" si="29"/>
        <v>3000</v>
      </c>
      <c r="M383" s="421">
        <v>3000</v>
      </c>
    </row>
    <row r="384" spans="1:16" x14ac:dyDescent="0.3">
      <c r="A384" s="420">
        <v>1</v>
      </c>
      <c r="C384" s="420">
        <f t="shared" si="25"/>
        <v>15</v>
      </c>
      <c r="D384" s="420">
        <f t="shared" si="26"/>
        <v>15</v>
      </c>
      <c r="E384" s="420">
        <f t="shared" si="27"/>
        <v>18</v>
      </c>
      <c r="F384" s="420" t="str">
        <f t="shared" si="28"/>
        <v>crx</v>
      </c>
      <c r="G384" s="420" t="s">
        <v>1024</v>
      </c>
      <c r="H384" s="420" t="s">
        <v>826</v>
      </c>
      <c r="I384" s="420" t="s">
        <v>1025</v>
      </c>
      <c r="K384" s="421">
        <f t="shared" si="29"/>
        <v>2993.1280277422129</v>
      </c>
      <c r="M384" s="421">
        <v>3000</v>
      </c>
      <c r="P384" s="420">
        <v>2993.1280277422129</v>
      </c>
    </row>
    <row r="385" spans="1:16" x14ac:dyDescent="0.3">
      <c r="A385" s="420">
        <v>1</v>
      </c>
      <c r="C385" s="420">
        <f t="shared" si="25"/>
        <v>16</v>
      </c>
      <c r="D385" s="420">
        <f t="shared" si="26"/>
        <v>16</v>
      </c>
      <c r="E385" s="420">
        <f t="shared" si="27"/>
        <v>18</v>
      </c>
      <c r="F385" s="420" t="str">
        <f t="shared" si="28"/>
        <v>crx</v>
      </c>
      <c r="G385" s="420" t="s">
        <v>1026</v>
      </c>
      <c r="H385" s="420" t="s">
        <v>826</v>
      </c>
      <c r="I385" s="420" t="s">
        <v>1027</v>
      </c>
      <c r="K385" s="421">
        <f t="shared" si="29"/>
        <v>2895.2803258200752</v>
      </c>
      <c r="M385" s="421">
        <v>3000</v>
      </c>
      <c r="P385" s="420">
        <v>2895.2803258200752</v>
      </c>
    </row>
    <row r="386" spans="1:16" x14ac:dyDescent="0.3">
      <c r="A386" s="420">
        <v>1</v>
      </c>
      <c r="C386" s="420">
        <f t="shared" ref="C386:C401" si="30">IF(E386=E385,C385+1,1)</f>
        <v>17</v>
      </c>
      <c r="D386" s="420">
        <f t="shared" ref="D386:D401" si="31">IF(K386=K385,D385,C386)</f>
        <v>17</v>
      </c>
      <c r="E386" s="420">
        <f t="shared" ref="E386:E401" si="32">10+VALUE(RIGHT(LEFT(G386,3),1))</f>
        <v>18</v>
      </c>
      <c r="F386" s="420" t="str">
        <f t="shared" ref="F386:F401" si="33">RIGHT(G386,2) &amp; IF(A386&lt;2,"x","")</f>
        <v>crx</v>
      </c>
      <c r="G386" s="420" t="s">
        <v>1028</v>
      </c>
      <c r="H386" s="420" t="s">
        <v>1029</v>
      </c>
      <c r="I386" s="420" t="s">
        <v>1030</v>
      </c>
      <c r="K386" s="421">
        <f t="shared" ref="K386:K401" si="34">LOOKUP(1E+100,M386:AB386)</f>
        <v>3020.7208746056385</v>
      </c>
      <c r="M386" s="421">
        <v>3000</v>
      </c>
      <c r="O386" s="420">
        <v>3020.7208746056385</v>
      </c>
    </row>
    <row r="387" spans="1:16" x14ac:dyDescent="0.3">
      <c r="A387" s="420">
        <v>1</v>
      </c>
      <c r="C387" s="420">
        <f t="shared" si="30"/>
        <v>18</v>
      </c>
      <c r="D387" s="420">
        <f t="shared" si="31"/>
        <v>18</v>
      </c>
      <c r="E387" s="420">
        <f t="shared" si="32"/>
        <v>18</v>
      </c>
      <c r="F387" s="420" t="str">
        <f t="shared" si="33"/>
        <v>crx</v>
      </c>
      <c r="G387" s="420" t="s">
        <v>1031</v>
      </c>
      <c r="H387" s="420" t="s">
        <v>1029</v>
      </c>
      <c r="I387" s="420" t="s">
        <v>1032</v>
      </c>
      <c r="K387" s="421">
        <f t="shared" si="34"/>
        <v>3030.7048604400079</v>
      </c>
      <c r="M387" s="421">
        <v>3000</v>
      </c>
      <c r="O387" s="420">
        <v>3030.7048604400079</v>
      </c>
    </row>
    <row r="388" spans="1:16" x14ac:dyDescent="0.3">
      <c r="A388" s="420">
        <v>1</v>
      </c>
      <c r="C388" s="420">
        <f t="shared" si="30"/>
        <v>19</v>
      </c>
      <c r="D388" s="420">
        <f t="shared" si="31"/>
        <v>19</v>
      </c>
      <c r="E388" s="420">
        <f t="shared" si="32"/>
        <v>18</v>
      </c>
      <c r="F388" s="420" t="str">
        <f t="shared" si="33"/>
        <v>crx</v>
      </c>
      <c r="G388" s="420" t="s">
        <v>1033</v>
      </c>
      <c r="H388" s="420" t="s">
        <v>369</v>
      </c>
      <c r="I388" s="420" t="s">
        <v>1034</v>
      </c>
      <c r="K388" s="421">
        <f t="shared" si="34"/>
        <v>3000</v>
      </c>
      <c r="M388" s="421">
        <v>3000</v>
      </c>
    </row>
    <row r="389" spans="1:16" x14ac:dyDescent="0.3">
      <c r="A389" s="420">
        <v>1</v>
      </c>
      <c r="C389" s="420">
        <f t="shared" si="30"/>
        <v>20</v>
      </c>
      <c r="D389" s="420">
        <f t="shared" si="31"/>
        <v>19</v>
      </c>
      <c r="E389" s="420">
        <f t="shared" si="32"/>
        <v>18</v>
      </c>
      <c r="F389" s="420" t="str">
        <f t="shared" si="33"/>
        <v>crx</v>
      </c>
      <c r="G389" s="420" t="s">
        <v>1035</v>
      </c>
      <c r="H389" s="420" t="s">
        <v>612</v>
      </c>
      <c r="I389" s="420" t="s">
        <v>1036</v>
      </c>
      <c r="K389" s="421">
        <f t="shared" si="34"/>
        <v>3000</v>
      </c>
      <c r="M389" s="421">
        <v>3000</v>
      </c>
    </row>
    <row r="390" spans="1:16" x14ac:dyDescent="0.3">
      <c r="A390" s="420">
        <v>1</v>
      </c>
      <c r="C390" s="420">
        <f t="shared" si="30"/>
        <v>21</v>
      </c>
      <c r="D390" s="420">
        <f t="shared" si="31"/>
        <v>21</v>
      </c>
      <c r="E390" s="420">
        <f t="shared" si="32"/>
        <v>18</v>
      </c>
      <c r="F390" s="420" t="str">
        <f t="shared" si="33"/>
        <v>crx</v>
      </c>
      <c r="G390" s="420" t="s">
        <v>1037</v>
      </c>
      <c r="H390" s="420" t="s">
        <v>918</v>
      </c>
      <c r="I390" s="420" t="s">
        <v>1038</v>
      </c>
      <c r="K390" s="421">
        <f t="shared" si="34"/>
        <v>2984.49504329918</v>
      </c>
      <c r="M390" s="421">
        <v>3000</v>
      </c>
      <c r="O390" s="420">
        <v>2984.49504329918</v>
      </c>
    </row>
    <row r="391" spans="1:16" x14ac:dyDescent="0.3">
      <c r="A391" s="420">
        <v>1</v>
      </c>
      <c r="C391" s="420">
        <f t="shared" si="30"/>
        <v>22</v>
      </c>
      <c r="D391" s="420">
        <f t="shared" si="31"/>
        <v>22</v>
      </c>
      <c r="E391" s="420">
        <f t="shared" si="32"/>
        <v>18</v>
      </c>
      <c r="F391" s="420" t="str">
        <f t="shared" si="33"/>
        <v>sox</v>
      </c>
      <c r="G391" s="420" t="s">
        <v>1039</v>
      </c>
      <c r="H391" s="420" t="s">
        <v>696</v>
      </c>
      <c r="I391" s="420" t="s">
        <v>1040</v>
      </c>
      <c r="K391" s="421">
        <f t="shared" si="34"/>
        <v>3000</v>
      </c>
      <c r="M391" s="421">
        <v>3000</v>
      </c>
    </row>
    <row r="392" spans="1:16" x14ac:dyDescent="0.3">
      <c r="A392" s="420">
        <v>2</v>
      </c>
      <c r="C392" s="420">
        <f t="shared" si="30"/>
        <v>23</v>
      </c>
      <c r="D392" s="420">
        <f t="shared" si="31"/>
        <v>23</v>
      </c>
      <c r="E392" s="420">
        <f t="shared" si="32"/>
        <v>18</v>
      </c>
      <c r="F392" s="420" t="str">
        <f t="shared" si="33"/>
        <v>pm</v>
      </c>
      <c r="G392" s="420" t="s">
        <v>1041</v>
      </c>
      <c r="H392" s="420" t="s">
        <v>727</v>
      </c>
      <c r="I392" s="420" t="s">
        <v>1042</v>
      </c>
      <c r="K392" s="421">
        <f t="shared" si="34"/>
        <v>2784.3704638645931</v>
      </c>
      <c r="M392" s="421">
        <v>2800</v>
      </c>
      <c r="N392" s="420">
        <v>2784.3704638645931</v>
      </c>
    </row>
    <row r="393" spans="1:16" x14ac:dyDescent="0.3">
      <c r="A393" s="420">
        <v>6</v>
      </c>
      <c r="C393" s="420">
        <f t="shared" si="30"/>
        <v>24</v>
      </c>
      <c r="D393" s="420">
        <f t="shared" si="31"/>
        <v>24</v>
      </c>
      <c r="E393" s="420">
        <f t="shared" si="32"/>
        <v>18</v>
      </c>
      <c r="F393" s="420" t="str">
        <f t="shared" si="33"/>
        <v>pm</v>
      </c>
      <c r="G393" s="420" t="s">
        <v>1043</v>
      </c>
      <c r="H393" s="420" t="s">
        <v>891</v>
      </c>
      <c r="I393" s="420" t="s">
        <v>1044</v>
      </c>
      <c r="K393" s="421">
        <f t="shared" si="34"/>
        <v>2560.6143683105338</v>
      </c>
      <c r="M393" s="421">
        <v>2600</v>
      </c>
      <c r="N393" s="420">
        <v>2598.4897616641106</v>
      </c>
      <c r="P393" s="420">
        <v>2560.6143683105338</v>
      </c>
    </row>
    <row r="394" spans="1:16" x14ac:dyDescent="0.3">
      <c r="A394" s="420">
        <v>6</v>
      </c>
      <c r="C394" s="420">
        <f>IF(E394=E358,C358+1,1)</f>
        <v>1</v>
      </c>
      <c r="D394" s="420">
        <f>IF(K394=K358,D358,C394)</f>
        <v>1</v>
      </c>
      <c r="E394" s="420">
        <f>10+VALUE(RIGHT(LEFT(G394,3),1))</f>
        <v>18</v>
      </c>
      <c r="F394" s="420" t="str">
        <f>RIGHT(G394,2) &amp; IF(A394&lt;2,"x","")</f>
        <v>pm</v>
      </c>
      <c r="G394" s="419" t="s">
        <v>1045</v>
      </c>
      <c r="H394" s="420" t="s">
        <v>891</v>
      </c>
      <c r="I394" s="420" t="s">
        <v>1046</v>
      </c>
      <c r="K394" s="421">
        <f>LOOKUP(1E+100,M394:AB394)</f>
        <v>2514.0032889712584</v>
      </c>
      <c r="M394" s="421">
        <v>2600</v>
      </c>
      <c r="N394" s="420">
        <v>2513.8626072183683</v>
      </c>
      <c r="P394" s="420">
        <v>2514.0032889712584</v>
      </c>
    </row>
    <row r="395" spans="1:16" x14ac:dyDescent="0.3">
      <c r="A395" s="420">
        <v>2</v>
      </c>
      <c r="C395" s="420">
        <f>IF(E395=E393,C393+1,1)</f>
        <v>25</v>
      </c>
      <c r="D395" s="420">
        <f>IF(K395=K393,D393,C395)</f>
        <v>25</v>
      </c>
      <c r="E395" s="420">
        <f t="shared" si="32"/>
        <v>18</v>
      </c>
      <c r="F395" s="420" t="str">
        <f t="shared" si="33"/>
        <v>pm</v>
      </c>
      <c r="G395" s="420" t="s">
        <v>1047</v>
      </c>
      <c r="H395" s="420" t="s">
        <v>758</v>
      </c>
      <c r="I395" s="420" t="s">
        <v>1048</v>
      </c>
      <c r="K395" s="421">
        <f t="shared" si="34"/>
        <v>2600</v>
      </c>
      <c r="M395" s="421">
        <v>2600</v>
      </c>
    </row>
    <row r="396" spans="1:16" x14ac:dyDescent="0.3">
      <c r="A396" s="420">
        <v>7</v>
      </c>
      <c r="C396" s="420">
        <f t="shared" si="30"/>
        <v>26</v>
      </c>
      <c r="D396" s="420">
        <f t="shared" si="31"/>
        <v>26</v>
      </c>
      <c r="E396" s="420">
        <f t="shared" si="32"/>
        <v>18</v>
      </c>
      <c r="F396" s="420" t="str">
        <f t="shared" si="33"/>
        <v>pm</v>
      </c>
      <c r="G396" s="420" t="s">
        <v>1049</v>
      </c>
      <c r="H396" s="420" t="s">
        <v>761</v>
      </c>
      <c r="I396" s="420" t="s">
        <v>1050</v>
      </c>
      <c r="K396" s="421">
        <f t="shared" si="34"/>
        <v>2503.6831965637493</v>
      </c>
      <c r="M396" s="421">
        <v>2600</v>
      </c>
      <c r="N396" s="420">
        <v>2509.9742813075081</v>
      </c>
      <c r="P396" s="420">
        <v>2503.6831965637493</v>
      </c>
    </row>
    <row r="397" spans="1:16" x14ac:dyDescent="0.3">
      <c r="A397" s="420">
        <v>2</v>
      </c>
      <c r="C397" s="420">
        <f t="shared" si="30"/>
        <v>27</v>
      </c>
      <c r="D397" s="420">
        <f t="shared" si="31"/>
        <v>27</v>
      </c>
      <c r="E397" s="420">
        <f t="shared" si="32"/>
        <v>18</v>
      </c>
      <c r="F397" s="420" t="str">
        <f t="shared" si="33"/>
        <v>pm</v>
      </c>
      <c r="G397" s="420" t="s">
        <v>1051</v>
      </c>
      <c r="H397" s="420" t="s">
        <v>437</v>
      </c>
      <c r="I397" s="420" t="s">
        <v>1052</v>
      </c>
      <c r="K397" s="421">
        <f t="shared" si="34"/>
        <v>2476.9796027233456</v>
      </c>
      <c r="M397" s="421">
        <v>2600</v>
      </c>
      <c r="P397" s="420">
        <v>2476.9796027233456</v>
      </c>
    </row>
    <row r="398" spans="1:16" x14ac:dyDescent="0.3">
      <c r="A398" s="420">
        <v>1</v>
      </c>
      <c r="C398" s="420">
        <f t="shared" si="30"/>
        <v>28</v>
      </c>
      <c r="D398" s="420">
        <f t="shared" si="31"/>
        <v>28</v>
      </c>
      <c r="E398" s="420">
        <f t="shared" si="32"/>
        <v>18</v>
      </c>
      <c r="F398" s="420" t="str">
        <f t="shared" si="33"/>
        <v>crx</v>
      </c>
      <c r="G398" s="420" t="s">
        <v>1053</v>
      </c>
      <c r="H398" s="420" t="s">
        <v>921</v>
      </c>
      <c r="I398" s="420" t="s">
        <v>1054</v>
      </c>
      <c r="K398" s="421">
        <f t="shared" si="34"/>
        <v>2600</v>
      </c>
      <c r="M398" s="421">
        <v>2600</v>
      </c>
    </row>
    <row r="399" spans="1:16" x14ac:dyDescent="0.3">
      <c r="A399" s="420">
        <v>3</v>
      </c>
      <c r="C399" s="420">
        <f t="shared" si="30"/>
        <v>29</v>
      </c>
      <c r="D399" s="420">
        <f t="shared" si="31"/>
        <v>29</v>
      </c>
      <c r="E399" s="420">
        <f t="shared" si="32"/>
        <v>18</v>
      </c>
      <c r="F399" s="420" t="str">
        <f t="shared" si="33"/>
        <v>cr</v>
      </c>
      <c r="G399" s="420" t="s">
        <v>1055</v>
      </c>
      <c r="H399" s="420" t="s">
        <v>624</v>
      </c>
      <c r="I399" s="420" t="s">
        <v>1056</v>
      </c>
      <c r="K399" s="421">
        <f t="shared" si="34"/>
        <v>2662.393350504467</v>
      </c>
      <c r="M399" s="421">
        <v>2600</v>
      </c>
      <c r="N399" s="420">
        <v>2662.393350504467</v>
      </c>
    </row>
    <row r="400" spans="1:16" x14ac:dyDescent="0.3">
      <c r="A400" s="420">
        <v>2</v>
      </c>
      <c r="C400" s="420">
        <f t="shared" si="30"/>
        <v>30</v>
      </c>
      <c r="D400" s="420">
        <f t="shared" si="31"/>
        <v>30</v>
      </c>
      <c r="E400" s="420">
        <f t="shared" si="32"/>
        <v>18</v>
      </c>
      <c r="F400" s="420" t="str">
        <f t="shared" si="33"/>
        <v>so</v>
      </c>
      <c r="G400" s="420" t="s">
        <v>1057</v>
      </c>
      <c r="H400" s="420" t="s">
        <v>453</v>
      </c>
      <c r="I400" s="420" t="s">
        <v>1058</v>
      </c>
      <c r="K400" s="421">
        <f t="shared" si="34"/>
        <v>2600</v>
      </c>
      <c r="M400" s="421">
        <v>2600</v>
      </c>
    </row>
    <row r="401" spans="1:16" x14ac:dyDescent="0.3">
      <c r="A401" s="420">
        <v>1</v>
      </c>
      <c r="C401" s="420">
        <f t="shared" si="30"/>
        <v>31</v>
      </c>
      <c r="D401" s="420">
        <f t="shared" si="31"/>
        <v>30</v>
      </c>
      <c r="E401" s="420">
        <f t="shared" si="32"/>
        <v>18</v>
      </c>
      <c r="F401" s="420" t="str">
        <f t="shared" si="33"/>
        <v>sox</v>
      </c>
      <c r="G401" s="420" t="s">
        <v>1059</v>
      </c>
      <c r="H401" s="420" t="s">
        <v>1060</v>
      </c>
      <c r="I401" s="420" t="s">
        <v>1061</v>
      </c>
      <c r="K401" s="421">
        <f t="shared" si="34"/>
        <v>2600</v>
      </c>
      <c r="M401" s="421">
        <v>2600</v>
      </c>
    </row>
    <row r="404" spans="1:16" x14ac:dyDescent="0.3">
      <c r="A404" s="420">
        <v>2</v>
      </c>
      <c r="C404" s="420">
        <f t="shared" ref="C404:C406" si="35">IF(E404=E403,C403+1,1)</f>
        <v>1</v>
      </c>
      <c r="D404" s="420">
        <f t="shared" ref="D404:D406" si="36">IF(K404=K403,D403,C404)</f>
        <v>1</v>
      </c>
      <c r="E404" s="420">
        <f t="shared" ref="E404:E406" si="37">10+VALUE(RIGHT(LEFT(G404,3),1))</f>
        <v>13</v>
      </c>
      <c r="F404" s="420" t="str">
        <f t="shared" ref="F404:F406" si="38">RIGHT(G404,2) &amp; IF(A404&lt;2,"x","")</f>
        <v>pm</v>
      </c>
      <c r="G404" s="419" t="s">
        <v>1062</v>
      </c>
      <c r="H404" s="420" t="s">
        <v>215</v>
      </c>
      <c r="I404" s="419" t="s">
        <v>1063</v>
      </c>
      <c r="K404" s="421">
        <f t="shared" ref="K404:K406" si="39">LOOKUP(1E+100,M404:AB404)</f>
        <v>1910.2697823414592</v>
      </c>
      <c r="M404" s="421">
        <v>2000</v>
      </c>
      <c r="P404" s="420">
        <v>1910.2697823414592</v>
      </c>
    </row>
    <row r="405" spans="1:16" x14ac:dyDescent="0.3">
      <c r="A405" s="420">
        <v>1</v>
      </c>
      <c r="C405" s="420">
        <f t="shared" si="35"/>
        <v>2</v>
      </c>
      <c r="D405" s="420">
        <f t="shared" si="36"/>
        <v>2</v>
      </c>
      <c r="E405" s="420">
        <f t="shared" si="37"/>
        <v>13</v>
      </c>
      <c r="F405" s="420" t="str">
        <f t="shared" si="38"/>
        <v>crx</v>
      </c>
      <c r="G405" s="419" t="s">
        <v>1064</v>
      </c>
      <c r="H405" s="419" t="s">
        <v>1065</v>
      </c>
      <c r="I405" s="420" t="s">
        <v>1066</v>
      </c>
      <c r="K405" s="421">
        <f t="shared" si="39"/>
        <v>1642.4175455670834</v>
      </c>
      <c r="M405" s="421">
        <v>1600</v>
      </c>
      <c r="P405" s="420">
        <v>1642.4175455670834</v>
      </c>
    </row>
    <row r="406" spans="1:16" x14ac:dyDescent="0.3">
      <c r="A406" s="420">
        <v>2</v>
      </c>
      <c r="C406" s="420">
        <f t="shared" si="35"/>
        <v>1</v>
      </c>
      <c r="D406" s="420">
        <f t="shared" si="36"/>
        <v>1</v>
      </c>
      <c r="E406" s="420">
        <f t="shared" si="37"/>
        <v>15</v>
      </c>
      <c r="F406" s="420" t="str">
        <f t="shared" si="38"/>
        <v>pm</v>
      </c>
      <c r="G406" s="423" t="s">
        <v>1067</v>
      </c>
      <c r="H406" s="423" t="s">
        <v>1068</v>
      </c>
      <c r="I406" s="423" t="s">
        <v>1069</v>
      </c>
      <c r="K406" s="421">
        <f t="shared" si="39"/>
        <v>2022.9770397763709</v>
      </c>
      <c r="M406" s="421">
        <v>2000</v>
      </c>
      <c r="P406" s="420">
        <v>2022.9770397763709</v>
      </c>
    </row>
    <row r="407" spans="1:16" ht="15" thickBot="1" x14ac:dyDescent="0.35"/>
    <row r="408" spans="1:16" ht="15" thickBot="1" x14ac:dyDescent="0.35">
      <c r="A408" s="420">
        <v>2</v>
      </c>
      <c r="C408" s="420">
        <f t="shared" ref="C408:C412" si="40">IF(E408=E407,C407+1,1)</f>
        <v>1</v>
      </c>
      <c r="D408" s="420">
        <f t="shared" ref="D408:D412" si="41">IF(K408=K407,D407,C408)</f>
        <v>1</v>
      </c>
      <c r="E408" s="420">
        <f t="shared" ref="E408:E412" si="42">10+VALUE(RIGHT(LEFT(G408,3),1))</f>
        <v>11</v>
      </c>
      <c r="F408" s="420" t="str">
        <f t="shared" ref="F408:F412" si="43">RIGHT(G408,2) &amp; IF(A408&lt;2,"x","")</f>
        <v>pm</v>
      </c>
      <c r="G408" s="418" t="s">
        <v>160</v>
      </c>
      <c r="H408" s="425" t="s">
        <v>1070</v>
      </c>
      <c r="I408" s="418" t="s">
        <v>159</v>
      </c>
      <c r="K408" s="421">
        <f t="shared" ref="K408:K412" si="44">LOOKUP(1E+100,M408:AB408)</f>
        <v>1225.0627938110126</v>
      </c>
      <c r="M408" s="421">
        <v>1200</v>
      </c>
      <c r="P408" s="420">
        <v>1225.0627938110126</v>
      </c>
    </row>
    <row r="409" spans="1:16" ht="15" thickBot="1" x14ac:dyDescent="0.35">
      <c r="A409" s="420">
        <v>2</v>
      </c>
      <c r="C409" s="420">
        <f t="shared" si="40"/>
        <v>2</v>
      </c>
      <c r="D409" s="420">
        <f t="shared" si="41"/>
        <v>2</v>
      </c>
      <c r="E409" s="420">
        <f t="shared" si="42"/>
        <v>11</v>
      </c>
      <c r="F409" s="420" t="str">
        <f t="shared" si="43"/>
        <v>pm</v>
      </c>
      <c r="G409" s="418" t="s">
        <v>162</v>
      </c>
      <c r="H409" s="425" t="s">
        <v>1070</v>
      </c>
      <c r="I409" s="418" t="s">
        <v>161</v>
      </c>
      <c r="K409" s="421">
        <f t="shared" si="44"/>
        <v>1264.7519205331801</v>
      </c>
      <c r="M409" s="421">
        <v>1200</v>
      </c>
      <c r="P409" s="420">
        <v>1264.7519205331801</v>
      </c>
    </row>
    <row r="410" spans="1:16" ht="15" thickBot="1" x14ac:dyDescent="0.35">
      <c r="A410" s="420">
        <v>2</v>
      </c>
      <c r="C410" s="420">
        <f t="shared" si="40"/>
        <v>3</v>
      </c>
      <c r="D410" s="420">
        <f t="shared" si="41"/>
        <v>3</v>
      </c>
      <c r="E410" s="420">
        <f t="shared" si="42"/>
        <v>11</v>
      </c>
      <c r="F410" s="420" t="str">
        <f t="shared" si="43"/>
        <v>pm</v>
      </c>
      <c r="G410" s="418" t="s">
        <v>164</v>
      </c>
      <c r="H410" s="425" t="s">
        <v>1070</v>
      </c>
      <c r="I410" s="418" t="s">
        <v>163</v>
      </c>
      <c r="K410" s="421">
        <f t="shared" si="44"/>
        <v>1237.1306917502143</v>
      </c>
      <c r="M410" s="421">
        <v>1200</v>
      </c>
      <c r="P410" s="420">
        <v>1237.1306917502143</v>
      </c>
    </row>
    <row r="411" spans="1:16" ht="15" thickBot="1" x14ac:dyDescent="0.35">
      <c r="A411" s="420">
        <v>2</v>
      </c>
      <c r="C411" s="420">
        <f t="shared" si="40"/>
        <v>1</v>
      </c>
      <c r="D411" s="420">
        <f t="shared" si="41"/>
        <v>1</v>
      </c>
      <c r="E411" s="420">
        <f t="shared" si="42"/>
        <v>12</v>
      </c>
      <c r="F411" s="420" t="str">
        <f t="shared" si="43"/>
        <v>pm</v>
      </c>
      <c r="G411" s="418" t="s">
        <v>166</v>
      </c>
      <c r="H411" s="425" t="s">
        <v>1073</v>
      </c>
      <c r="I411" s="418" t="s">
        <v>165</v>
      </c>
      <c r="K411" s="421">
        <f t="shared" si="44"/>
        <v>1096.3127655480869</v>
      </c>
      <c r="M411" s="421">
        <v>1200</v>
      </c>
      <c r="P411" s="420">
        <v>1096.3127655480869</v>
      </c>
    </row>
    <row r="412" spans="1:16" ht="15" thickBot="1" x14ac:dyDescent="0.35">
      <c r="A412" s="420">
        <v>2</v>
      </c>
      <c r="C412" s="420">
        <f t="shared" si="40"/>
        <v>2</v>
      </c>
      <c r="D412" s="420">
        <f t="shared" si="41"/>
        <v>2</v>
      </c>
      <c r="E412" s="420">
        <f t="shared" si="42"/>
        <v>12</v>
      </c>
      <c r="F412" s="420" t="str">
        <f t="shared" si="43"/>
        <v>pm</v>
      </c>
      <c r="G412" s="418" t="s">
        <v>168</v>
      </c>
      <c r="H412" s="425" t="s">
        <v>1074</v>
      </c>
      <c r="I412" s="418" t="s">
        <v>167</v>
      </c>
      <c r="K412" s="421">
        <f t="shared" si="44"/>
        <v>1157.2304177245248</v>
      </c>
      <c r="M412" s="421">
        <v>1200</v>
      </c>
      <c r="P412" s="420">
        <v>1157.2304177245248</v>
      </c>
    </row>
    <row r="413" spans="1:16" ht="15" thickBot="1" x14ac:dyDescent="0.35"/>
    <row r="414" spans="1:16" ht="15" thickBot="1" x14ac:dyDescent="0.35">
      <c r="A414" s="420">
        <v>2</v>
      </c>
      <c r="C414" s="420">
        <f t="shared" ref="C414:C418" si="45">IF(E414=E413,C413+1,1)</f>
        <v>1</v>
      </c>
      <c r="D414" s="420">
        <f t="shared" ref="D414:D418" si="46">IF(K414=K413,D413,C414)</f>
        <v>1</v>
      </c>
      <c r="E414" s="420">
        <f t="shared" ref="E414:E418" si="47">10+VALUE(RIGHT(LEFT(G414,3),1))</f>
        <v>12</v>
      </c>
      <c r="F414" s="420" t="str">
        <f t="shared" ref="F414:F418" si="48">RIGHT(G414,2) &amp; IF(A414&lt;2,"x","")</f>
        <v>pm</v>
      </c>
      <c r="G414" s="418" t="s">
        <v>146</v>
      </c>
      <c r="H414" s="425" t="s">
        <v>1070</v>
      </c>
      <c r="I414" s="418" t="s">
        <v>145</v>
      </c>
      <c r="K414" s="421">
        <f t="shared" ref="K414:K418" si="49">LOOKUP(1E+100,M414:AB414)</f>
        <v>1298.5668972647138</v>
      </c>
      <c r="M414" s="421">
        <v>1200</v>
      </c>
      <c r="P414" s="420">
        <v>1298.5668972647138</v>
      </c>
    </row>
    <row r="415" spans="1:16" ht="15" thickBot="1" x14ac:dyDescent="0.35">
      <c r="A415" s="420">
        <v>2</v>
      </c>
      <c r="C415" s="420">
        <f t="shared" si="45"/>
        <v>1</v>
      </c>
      <c r="D415" s="420">
        <f t="shared" si="46"/>
        <v>1</v>
      </c>
      <c r="E415" s="420">
        <f t="shared" si="47"/>
        <v>11</v>
      </c>
      <c r="F415" s="420" t="str">
        <f t="shared" si="48"/>
        <v>pm</v>
      </c>
      <c r="G415" s="418" t="s">
        <v>148</v>
      </c>
      <c r="H415" s="425" t="s">
        <v>801</v>
      </c>
      <c r="I415" s="418" t="s">
        <v>147</v>
      </c>
      <c r="K415" s="421">
        <f t="shared" si="49"/>
        <v>1213.4507817912975</v>
      </c>
      <c r="M415" s="421">
        <v>1200</v>
      </c>
      <c r="P415" s="420">
        <v>1213.4507817912975</v>
      </c>
    </row>
    <row r="416" spans="1:16" ht="15" thickBot="1" x14ac:dyDescent="0.35">
      <c r="A416" s="420">
        <v>2</v>
      </c>
      <c r="C416" s="420">
        <f t="shared" si="45"/>
        <v>1</v>
      </c>
      <c r="D416" s="420">
        <f t="shared" si="46"/>
        <v>1</v>
      </c>
      <c r="E416" s="420">
        <f t="shared" si="47"/>
        <v>12</v>
      </c>
      <c r="F416" s="420" t="str">
        <f t="shared" si="48"/>
        <v>pm</v>
      </c>
      <c r="G416" s="418" t="s">
        <v>150</v>
      </c>
      <c r="H416" s="425" t="s">
        <v>1071</v>
      </c>
      <c r="I416" s="418" t="s">
        <v>149</v>
      </c>
      <c r="K416" s="421">
        <f t="shared" si="49"/>
        <v>1198.5075103942904</v>
      </c>
      <c r="M416" s="421">
        <v>1200</v>
      </c>
      <c r="P416" s="420">
        <v>1198.5075103942904</v>
      </c>
    </row>
    <row r="417" spans="1:16" ht="15" thickBot="1" x14ac:dyDescent="0.35">
      <c r="A417" s="420">
        <v>2</v>
      </c>
      <c r="C417" s="420">
        <f t="shared" si="45"/>
        <v>2</v>
      </c>
      <c r="D417" s="420">
        <f t="shared" si="46"/>
        <v>2</v>
      </c>
      <c r="E417" s="420">
        <f t="shared" si="47"/>
        <v>12</v>
      </c>
      <c r="F417" s="420" t="str">
        <f t="shared" si="48"/>
        <v>pm</v>
      </c>
      <c r="G417" s="418" t="s">
        <v>152</v>
      </c>
      <c r="H417" s="425" t="s">
        <v>1071</v>
      </c>
      <c r="I417" s="418" t="s">
        <v>151</v>
      </c>
      <c r="K417" s="421">
        <f t="shared" si="49"/>
        <v>1115.6045285651435</v>
      </c>
      <c r="M417" s="421">
        <v>1200</v>
      </c>
      <c r="P417" s="420">
        <v>1115.6045285651435</v>
      </c>
    </row>
    <row r="418" spans="1:16" ht="15" thickBot="1" x14ac:dyDescent="0.35">
      <c r="A418" s="420">
        <v>2</v>
      </c>
      <c r="C418" s="420">
        <f t="shared" si="45"/>
        <v>3</v>
      </c>
      <c r="D418" s="420">
        <f t="shared" si="46"/>
        <v>3</v>
      </c>
      <c r="E418" s="420">
        <f t="shared" si="47"/>
        <v>12</v>
      </c>
      <c r="F418" s="420" t="str">
        <f t="shared" si="48"/>
        <v>pm</v>
      </c>
      <c r="G418" s="418" t="s">
        <v>154</v>
      </c>
      <c r="H418" s="425" t="s">
        <v>1072</v>
      </c>
      <c r="I418" s="418" t="s">
        <v>153</v>
      </c>
      <c r="K418" s="421">
        <f t="shared" si="49"/>
        <v>1151.5489354378585</v>
      </c>
      <c r="M418" s="421">
        <v>1200</v>
      </c>
      <c r="P418" s="420">
        <v>1151.5489354378585</v>
      </c>
    </row>
    <row r="419" spans="1:16" ht="15" thickBot="1" x14ac:dyDescent="0.35"/>
    <row r="420" spans="1:16" ht="15" thickBot="1" x14ac:dyDescent="0.35">
      <c r="A420" s="420">
        <v>2</v>
      </c>
      <c r="C420" s="420">
        <f t="shared" ref="C420" si="50">IF(E420=E419,C419+1,1)</f>
        <v>1</v>
      </c>
      <c r="D420" s="420">
        <f t="shared" ref="D420" si="51">IF(K420=K419,D419,C420)</f>
        <v>1</v>
      </c>
      <c r="E420" s="420">
        <f t="shared" ref="E420" si="52">10+VALUE(RIGHT(LEFT(G420,3),1))</f>
        <v>12</v>
      </c>
      <c r="F420" s="420" t="str">
        <f t="shared" ref="F420" si="53">RIGHT(G420,2) &amp; IF(A420&lt;2,"x","")</f>
        <v>pm</v>
      </c>
      <c r="G420" s="418" t="s">
        <v>142</v>
      </c>
      <c r="H420" s="425" t="s">
        <v>1075</v>
      </c>
      <c r="I420" s="418" t="s">
        <v>141</v>
      </c>
      <c r="K420" s="421">
        <f t="shared" ref="K420" si="54">LOOKUP(1E+100,M420:AB420)</f>
        <v>1233.2107957429735</v>
      </c>
      <c r="M420" s="421">
        <v>1200</v>
      </c>
      <c r="P420" s="420">
        <v>1233.2107957429735</v>
      </c>
    </row>
  </sheetData>
  <conditionalFormatting sqref="G1:I1">
    <cfRule type="containsText" dxfId="912" priority="356" operator="containsText" text="CSRA">
      <formula>NOT(ISERROR(SEARCH("CSRA",G1)))</formula>
    </cfRule>
  </conditionalFormatting>
  <conditionalFormatting sqref="AJ1:XFD403 A1:AG403 A407:AG407 AJ407:XFD1048576 A413:AG413 J408:AG412 A419:AG419 J414:AG418 A421:AG1048576 J420:AG420">
    <cfRule type="expression" dxfId="911" priority="411">
      <formula>$E1&lt;12</formula>
    </cfRule>
    <cfRule type="expression" dxfId="910" priority="412">
      <formula>$E1=18</formula>
    </cfRule>
    <cfRule type="expression" dxfId="909" priority="413">
      <formula>$E1=17</formula>
    </cfRule>
    <cfRule type="expression" dxfId="908" priority="414">
      <formula>$E1=16</formula>
    </cfRule>
    <cfRule type="expression" dxfId="907" priority="415">
      <formula>$E1=15</formula>
    </cfRule>
    <cfRule type="expression" dxfId="906" priority="416">
      <formula>$E1=14</formula>
    </cfRule>
    <cfRule type="expression" dxfId="905" priority="417">
      <formula>$E1=13</formula>
    </cfRule>
    <cfRule type="expression" dxfId="904" priority="418">
      <formula>$E1=12</formula>
    </cfRule>
  </conditionalFormatting>
  <conditionalFormatting sqref="AJ1:XFD403 A1:AG403 A407:AG407 AJ407:XFD1048576 A413:AG413 J408:AG412 A419:AG419 J414:AG418 A421:AG1048576 J420:AG420">
    <cfRule type="expression" dxfId="903" priority="402">
      <formula>$E1=10</formula>
    </cfRule>
    <cfRule type="expression" dxfId="902" priority="403">
      <formula>$E1=11</formula>
    </cfRule>
    <cfRule type="expression" dxfId="901" priority="404">
      <formula>$E1=18</formula>
    </cfRule>
    <cfRule type="expression" dxfId="900" priority="405">
      <formula>$E1=17</formula>
    </cfRule>
    <cfRule type="expression" dxfId="899" priority="406">
      <formula>$E1=16</formula>
    </cfRule>
    <cfRule type="expression" dxfId="898" priority="407">
      <formula>$E1=15</formula>
    </cfRule>
    <cfRule type="expression" dxfId="897" priority="408">
      <formula>$E1=14</formula>
    </cfRule>
    <cfRule type="expression" dxfId="896" priority="409">
      <formula>$E1=13</formula>
    </cfRule>
    <cfRule type="expression" dxfId="895" priority="410">
      <formula>$E1=12</formula>
    </cfRule>
  </conditionalFormatting>
  <conditionalFormatting sqref="N255:AG255 AJ255:XFD255">
    <cfRule type="expression" dxfId="894" priority="393">
      <formula>$E255=10</formula>
    </cfRule>
    <cfRule type="expression" dxfId="893" priority="394">
      <formula>$E255=11</formula>
    </cfRule>
    <cfRule type="expression" dxfId="892" priority="395">
      <formula>$E255=18</formula>
    </cfRule>
    <cfRule type="expression" dxfId="891" priority="396">
      <formula>$E255=17</formula>
    </cfRule>
    <cfRule type="expression" dxfId="890" priority="397">
      <formula>$E255=16</formula>
    </cfRule>
    <cfRule type="expression" dxfId="889" priority="398">
      <formula>$E255=15</formula>
    </cfRule>
    <cfRule type="expression" dxfId="888" priority="399">
      <formula>$E255=14</formula>
    </cfRule>
    <cfRule type="expression" dxfId="887" priority="400">
      <formula>$E255=13</formula>
    </cfRule>
    <cfRule type="expression" dxfId="886" priority="401">
      <formula>$E255=12</formula>
    </cfRule>
  </conditionalFormatting>
  <conditionalFormatting sqref="AJ265:XFD268 IW258:XFD263 N265:AG268">
    <cfRule type="expression" dxfId="885" priority="384">
      <formula>$E258=10</formula>
    </cfRule>
    <cfRule type="expression" dxfId="884" priority="385">
      <formula>$E258=11</formula>
    </cfRule>
    <cfRule type="expression" dxfId="883" priority="386">
      <formula>$E258=18</formula>
    </cfRule>
    <cfRule type="expression" dxfId="882" priority="387">
      <formula>$E258=17</formula>
    </cfRule>
    <cfRule type="expression" dxfId="881" priority="388">
      <formula>$E258=16</formula>
    </cfRule>
    <cfRule type="expression" dxfId="880" priority="389">
      <formula>$E258=15</formula>
    </cfRule>
    <cfRule type="expression" dxfId="879" priority="390">
      <formula>$E258=14</formula>
    </cfRule>
    <cfRule type="expression" dxfId="878" priority="391">
      <formula>$E258=13</formula>
    </cfRule>
    <cfRule type="expression" dxfId="877" priority="392">
      <formula>$E258=12</formula>
    </cfRule>
  </conditionalFormatting>
  <conditionalFormatting sqref="N261:AG263 AJ261:IV263">
    <cfRule type="expression" dxfId="876" priority="375">
      <formula>$E261=10</formula>
    </cfRule>
    <cfRule type="expression" dxfId="875" priority="376">
      <formula>$E261=11</formula>
    </cfRule>
    <cfRule type="expression" dxfId="874" priority="377">
      <formula>$E261=18</formula>
    </cfRule>
    <cfRule type="expression" dxfId="873" priority="378">
      <formula>$E261=17</formula>
    </cfRule>
    <cfRule type="expression" dxfId="872" priority="379">
      <formula>$E261=16</formula>
    </cfRule>
    <cfRule type="expression" dxfId="871" priority="380">
      <formula>$E261=15</formula>
    </cfRule>
    <cfRule type="expression" dxfId="870" priority="381">
      <formula>$E261=14</formula>
    </cfRule>
    <cfRule type="expression" dxfId="869" priority="382">
      <formula>$E261=13</formula>
    </cfRule>
    <cfRule type="expression" dxfId="868" priority="383">
      <formula>$E261=12</formula>
    </cfRule>
  </conditionalFormatting>
  <conditionalFormatting sqref="H261">
    <cfRule type="expression" dxfId="867" priority="320">
      <formula>$E261=10</formula>
    </cfRule>
    <cfRule type="expression" dxfId="866" priority="321">
      <formula>$E261=11</formula>
    </cfRule>
    <cfRule type="expression" dxfId="865" priority="322">
      <formula>$E261=18</formula>
    </cfRule>
    <cfRule type="expression" dxfId="864" priority="323">
      <formula>$E261=17</formula>
    </cfRule>
    <cfRule type="expression" dxfId="863" priority="324">
      <formula>$E261=16</formula>
    </cfRule>
    <cfRule type="expression" dxfId="862" priority="325">
      <formula>$E261=15</formula>
    </cfRule>
    <cfRule type="expression" dxfId="861" priority="326">
      <formula>$E261=14</formula>
    </cfRule>
    <cfRule type="expression" dxfId="860" priority="327">
      <formula>$E261=13</formula>
    </cfRule>
    <cfRule type="expression" dxfId="859" priority="328">
      <formula>$E261=12</formula>
    </cfRule>
  </conditionalFormatting>
  <conditionalFormatting sqref="N258:AG260 AJ258:IV260">
    <cfRule type="expression" dxfId="858" priority="366">
      <formula>$E258=10</formula>
    </cfRule>
    <cfRule type="expression" dxfId="857" priority="367">
      <formula>$E258=11</formula>
    </cfRule>
    <cfRule type="expression" dxfId="856" priority="368">
      <formula>$E258=18</formula>
    </cfRule>
    <cfRule type="expression" dxfId="855" priority="369">
      <formula>$E258=17</formula>
    </cfRule>
    <cfRule type="expression" dxfId="854" priority="370">
      <formula>$E258=16</formula>
    </cfRule>
    <cfRule type="expression" dxfId="853" priority="371">
      <formula>$E258=15</formula>
    </cfRule>
    <cfRule type="expression" dxfId="852" priority="372">
      <formula>$E258=14</formula>
    </cfRule>
    <cfRule type="expression" dxfId="851" priority="373">
      <formula>$E258=13</formula>
    </cfRule>
    <cfRule type="expression" dxfId="850" priority="374">
      <formula>$E258=12</formula>
    </cfRule>
  </conditionalFormatting>
  <conditionalFormatting sqref="N264:AG264 AJ264:XFD264">
    <cfRule type="expression" dxfId="849" priority="357">
      <formula>$E264=10</formula>
    </cfRule>
    <cfRule type="expression" dxfId="848" priority="358">
      <formula>$E264=11</formula>
    </cfRule>
    <cfRule type="expression" dxfId="847" priority="359">
      <formula>$E264=18</formula>
    </cfRule>
    <cfRule type="expression" dxfId="846" priority="360">
      <formula>$E264=17</formula>
    </cfRule>
    <cfRule type="expression" dxfId="845" priority="361">
      <formula>$E264=16</formula>
    </cfRule>
    <cfRule type="expression" dxfId="844" priority="362">
      <formula>$E264=15</formula>
    </cfRule>
    <cfRule type="expression" dxfId="843" priority="363">
      <formula>$E264=14</formula>
    </cfRule>
    <cfRule type="expression" dxfId="842" priority="364">
      <formula>$E264=13</formula>
    </cfRule>
    <cfRule type="expression" dxfId="841" priority="365">
      <formula>$E264=12</formula>
    </cfRule>
  </conditionalFormatting>
  <conditionalFormatting sqref="M264">
    <cfRule type="expression" dxfId="840" priority="293">
      <formula>$E264=10</formula>
    </cfRule>
    <cfRule type="expression" dxfId="839" priority="294">
      <formula>$E264=11</formula>
    </cfRule>
    <cfRule type="expression" dxfId="838" priority="295">
      <formula>$E264=18</formula>
    </cfRule>
    <cfRule type="expression" dxfId="837" priority="296">
      <formula>$E264=17</formula>
    </cfRule>
    <cfRule type="expression" dxfId="836" priority="297">
      <formula>$E264=16</formula>
    </cfRule>
    <cfRule type="expression" dxfId="835" priority="298">
      <formula>$E264=15</formula>
    </cfRule>
    <cfRule type="expression" dxfId="834" priority="299">
      <formula>$E264=14</formula>
    </cfRule>
    <cfRule type="expression" dxfId="833" priority="300">
      <formula>$E264=13</formula>
    </cfRule>
    <cfRule type="expression" dxfId="832" priority="301">
      <formula>$E264=12</formula>
    </cfRule>
  </conditionalFormatting>
  <conditionalFormatting sqref="K264">
    <cfRule type="expression" dxfId="831" priority="284">
      <formula>$E264=10</formula>
    </cfRule>
    <cfRule type="expression" dxfId="830" priority="285">
      <formula>$E264=11</formula>
    </cfRule>
    <cfRule type="expression" dxfId="829" priority="286">
      <formula>$E264=18</formula>
    </cfRule>
    <cfRule type="expression" dxfId="828" priority="287">
      <formula>$E264=17</formula>
    </cfRule>
    <cfRule type="expression" dxfId="827" priority="288">
      <formula>$E264=16</formula>
    </cfRule>
    <cfRule type="expression" dxfId="826" priority="289">
      <formula>$E264=15</formula>
    </cfRule>
    <cfRule type="expression" dxfId="825" priority="290">
      <formula>$E264=14</formula>
    </cfRule>
    <cfRule type="expression" dxfId="824" priority="291">
      <formula>$E264=13</formula>
    </cfRule>
    <cfRule type="expression" dxfId="823" priority="292">
      <formula>$E264=12</formula>
    </cfRule>
  </conditionalFormatting>
  <conditionalFormatting sqref="G264">
    <cfRule type="expression" dxfId="822" priority="275">
      <formula>$E264=10</formula>
    </cfRule>
    <cfRule type="expression" dxfId="821" priority="276">
      <formula>$E264=11</formula>
    </cfRule>
    <cfRule type="expression" dxfId="820" priority="277">
      <formula>$E264=18</formula>
    </cfRule>
    <cfRule type="expression" dxfId="819" priority="278">
      <formula>$E264=17</formula>
    </cfRule>
    <cfRule type="expression" dxfId="818" priority="279">
      <formula>$E264=16</formula>
    </cfRule>
    <cfRule type="expression" dxfId="817" priority="280">
      <formula>$E264=15</formula>
    </cfRule>
    <cfRule type="expression" dxfId="816" priority="281">
      <formula>$E264=14</formula>
    </cfRule>
    <cfRule type="expression" dxfId="815" priority="282">
      <formula>$E264=13</formula>
    </cfRule>
    <cfRule type="expression" dxfId="814" priority="283">
      <formula>$E264=12</formula>
    </cfRule>
  </conditionalFormatting>
  <conditionalFormatting sqref="C264:F264">
    <cfRule type="expression" dxfId="813" priority="266">
      <formula>$E264=10</formula>
    </cfRule>
    <cfRule type="expression" dxfId="812" priority="267">
      <formula>$E264=11</formula>
    </cfRule>
    <cfRule type="expression" dxfId="811" priority="268">
      <formula>$E264=18</formula>
    </cfRule>
    <cfRule type="expression" dxfId="810" priority="269">
      <formula>$E264=17</formula>
    </cfRule>
    <cfRule type="expression" dxfId="809" priority="270">
      <formula>$E264=16</formula>
    </cfRule>
    <cfRule type="expression" dxfId="808" priority="271">
      <formula>$E264=15</formula>
    </cfRule>
    <cfRule type="expression" dxfId="807" priority="272">
      <formula>$E264=14</formula>
    </cfRule>
    <cfRule type="expression" dxfId="806" priority="273">
      <formula>$E264=13</formula>
    </cfRule>
    <cfRule type="expression" dxfId="805" priority="274">
      <formula>$E264=12</formula>
    </cfRule>
  </conditionalFormatting>
  <conditionalFormatting sqref="A255:M255">
    <cfRule type="expression" dxfId="804" priority="347">
      <formula>$E255=10</formula>
    </cfRule>
    <cfRule type="expression" dxfId="803" priority="348">
      <formula>$E255=11</formula>
    </cfRule>
    <cfRule type="expression" dxfId="802" priority="349">
      <formula>$E255=18</formula>
    </cfRule>
    <cfRule type="expression" dxfId="801" priority="350">
      <formula>$E255=17</formula>
    </cfRule>
    <cfRule type="expression" dxfId="800" priority="351">
      <formula>$E255=16</formula>
    </cfRule>
    <cfRule type="expression" dxfId="799" priority="352">
      <formula>$E255=15</formula>
    </cfRule>
    <cfRule type="expression" dxfId="798" priority="353">
      <formula>$E255=14</formula>
    </cfRule>
    <cfRule type="expression" dxfId="797" priority="354">
      <formula>$E255=13</formula>
    </cfRule>
    <cfRule type="expression" dxfId="796" priority="355">
      <formula>$E255=12</formula>
    </cfRule>
  </conditionalFormatting>
  <conditionalFormatting sqref="A265:M268">
    <cfRule type="expression" dxfId="795" priority="338">
      <formula>$E265=10</formula>
    </cfRule>
    <cfRule type="expression" dxfId="794" priority="339">
      <formula>$E265=11</formula>
    </cfRule>
    <cfRule type="expression" dxfId="793" priority="340">
      <formula>$E265=18</formula>
    </cfRule>
    <cfRule type="expression" dxfId="792" priority="341">
      <formula>$E265=17</formula>
    </cfRule>
    <cfRule type="expression" dxfId="791" priority="342">
      <formula>$E265=16</formula>
    </cfRule>
    <cfRule type="expression" dxfId="790" priority="343">
      <formula>$E265=15</formula>
    </cfRule>
    <cfRule type="expression" dxfId="789" priority="344">
      <formula>$E265=14</formula>
    </cfRule>
    <cfRule type="expression" dxfId="788" priority="345">
      <formula>$E265=13</formula>
    </cfRule>
    <cfRule type="expression" dxfId="787" priority="346">
      <formula>$E265=12</formula>
    </cfRule>
  </conditionalFormatting>
  <conditionalFormatting sqref="A262:M262 A261:F261 J261:M261 H263 K263:M263 A263:F263">
    <cfRule type="expression" dxfId="786" priority="329">
      <formula>$E261=10</formula>
    </cfRule>
    <cfRule type="expression" dxfId="785" priority="330">
      <formula>$E261=11</formula>
    </cfRule>
    <cfRule type="expression" dxfId="784" priority="331">
      <formula>$E261=18</formula>
    </cfRule>
    <cfRule type="expression" dxfId="783" priority="332">
      <formula>$E261=17</formula>
    </cfRule>
    <cfRule type="expression" dxfId="782" priority="333">
      <formula>$E261=16</formula>
    </cfRule>
    <cfRule type="expression" dxfId="781" priority="334">
      <formula>$E261=15</formula>
    </cfRule>
    <cfRule type="expression" dxfId="780" priority="335">
      <formula>$E261=14</formula>
    </cfRule>
    <cfRule type="expression" dxfId="779" priority="336">
      <formula>$E261=13</formula>
    </cfRule>
    <cfRule type="expression" dxfId="778" priority="337">
      <formula>$E261=12</formula>
    </cfRule>
  </conditionalFormatting>
  <conditionalFormatting sqref="A258:M260">
    <cfRule type="expression" dxfId="777" priority="311">
      <formula>$E258=10</formula>
    </cfRule>
    <cfRule type="expression" dxfId="776" priority="312">
      <formula>$E258=11</formula>
    </cfRule>
    <cfRule type="expression" dxfId="775" priority="313">
      <formula>$E258=18</formula>
    </cfRule>
    <cfRule type="expression" dxfId="774" priority="314">
      <formula>$E258=17</formula>
    </cfRule>
    <cfRule type="expression" dxfId="773" priority="315">
      <formula>$E258=16</formula>
    </cfRule>
    <cfRule type="expression" dxfId="772" priority="316">
      <formula>$E258=15</formula>
    </cfRule>
    <cfRule type="expression" dxfId="771" priority="317">
      <formula>$E258=14</formula>
    </cfRule>
    <cfRule type="expression" dxfId="770" priority="318">
      <formula>$E258=13</formula>
    </cfRule>
    <cfRule type="expression" dxfId="769" priority="319">
      <formula>$E258=12</formula>
    </cfRule>
  </conditionalFormatting>
  <conditionalFormatting sqref="A264:B264 J264 L264 H264">
    <cfRule type="expression" dxfId="768" priority="302">
      <formula>$E264=10</formula>
    </cfRule>
    <cfRule type="expression" dxfId="767" priority="303">
      <formula>$E264=11</formula>
    </cfRule>
    <cfRule type="expression" dxfId="766" priority="304">
      <formula>$E264=18</formula>
    </cfRule>
    <cfRule type="expression" dxfId="765" priority="305">
      <formula>$E264=17</formula>
    </cfRule>
    <cfRule type="expression" dxfId="764" priority="306">
      <formula>$E264=16</formula>
    </cfRule>
    <cfRule type="expression" dxfId="763" priority="307">
      <formula>$E264=15</formula>
    </cfRule>
    <cfRule type="expression" dxfId="762" priority="308">
      <formula>$E264=14</formula>
    </cfRule>
    <cfRule type="expression" dxfId="761" priority="309">
      <formula>$E264=13</formula>
    </cfRule>
    <cfRule type="expression" dxfId="760" priority="310">
      <formula>$E264=12</formula>
    </cfRule>
  </conditionalFormatting>
  <conditionalFormatting sqref="N406:AG406 AJ406:XFD406">
    <cfRule type="expression" dxfId="759" priority="258">
      <formula>$E406&lt;12</formula>
    </cfRule>
    <cfRule type="expression" dxfId="758" priority="259">
      <formula>$E406=18</formula>
    </cfRule>
    <cfRule type="expression" dxfId="757" priority="260">
      <formula>$E406=17</formula>
    </cfRule>
    <cfRule type="expression" dxfId="756" priority="261">
      <formula>$E406=16</formula>
    </cfRule>
    <cfRule type="expression" dxfId="755" priority="262">
      <formula>$E406=15</formula>
    </cfRule>
    <cfRule type="expression" dxfId="754" priority="263">
      <formula>$E406=14</formula>
    </cfRule>
    <cfRule type="expression" dxfId="753" priority="264">
      <formula>$E406=13</formula>
    </cfRule>
    <cfRule type="expression" dxfId="752" priority="265">
      <formula>$E406=12</formula>
    </cfRule>
  </conditionalFormatting>
  <conditionalFormatting sqref="N406:AG406 AJ406:XFD406">
    <cfRule type="expression" dxfId="751" priority="249">
      <formula>$E406=10</formula>
    </cfRule>
    <cfRule type="expression" dxfId="750" priority="250">
      <formula>$E406=11</formula>
    </cfRule>
    <cfRule type="expression" dxfId="749" priority="251">
      <formula>$E406=18</formula>
    </cfRule>
    <cfRule type="expression" dxfId="748" priority="252">
      <formula>$E406=17</formula>
    </cfRule>
    <cfRule type="expression" dxfId="747" priority="253">
      <formula>$E406=16</formula>
    </cfRule>
    <cfRule type="expression" dxfId="746" priority="254">
      <formula>$E406=15</formula>
    </cfRule>
    <cfRule type="expression" dxfId="745" priority="255">
      <formula>$E406=14</formula>
    </cfRule>
    <cfRule type="expression" dxfId="744" priority="256">
      <formula>$E406=13</formula>
    </cfRule>
    <cfRule type="expression" dxfId="743" priority="257">
      <formula>$E406=12</formula>
    </cfRule>
  </conditionalFormatting>
  <conditionalFormatting sqref="G406:J406">
    <cfRule type="expression" dxfId="742" priority="241">
      <formula>$E406&lt;12</formula>
    </cfRule>
    <cfRule type="expression" dxfId="741" priority="242">
      <formula>$E406=18</formula>
    </cfRule>
    <cfRule type="expression" dxfId="740" priority="243">
      <formula>$E406=17</formula>
    </cfRule>
    <cfRule type="expression" dxfId="739" priority="244">
      <formula>$E406=16</formula>
    </cfRule>
    <cfRule type="expression" dxfId="738" priority="245">
      <formula>$E406=15</formula>
    </cfRule>
    <cfRule type="expression" dxfId="737" priority="246">
      <formula>$E406=14</formula>
    </cfRule>
    <cfRule type="expression" dxfId="736" priority="247">
      <formula>$E406=13</formula>
    </cfRule>
    <cfRule type="expression" dxfId="735" priority="248">
      <formula>$E406=12</formula>
    </cfRule>
  </conditionalFormatting>
  <conditionalFormatting sqref="G406:J406">
    <cfRule type="expression" dxfId="734" priority="232">
      <formula>$E406=10</formula>
    </cfRule>
    <cfRule type="expression" dxfId="733" priority="233">
      <formula>$E406=11</formula>
    </cfRule>
    <cfRule type="expression" dxfId="732" priority="234">
      <formula>$E406=18</formula>
    </cfRule>
    <cfRule type="expression" dxfId="731" priority="235">
      <formula>$E406=17</formula>
    </cfRule>
    <cfRule type="expression" dxfId="730" priority="236">
      <formula>$E406=16</formula>
    </cfRule>
    <cfRule type="expression" dxfId="729" priority="237">
      <formula>$E406=15</formula>
    </cfRule>
    <cfRule type="expression" dxfId="728" priority="238">
      <formula>$E406=14</formula>
    </cfRule>
    <cfRule type="expression" dxfId="727" priority="239">
      <formula>$E406=13</formula>
    </cfRule>
    <cfRule type="expression" dxfId="726" priority="240">
      <formula>$E406=12</formula>
    </cfRule>
  </conditionalFormatting>
  <conditionalFormatting sqref="AJ404:XFD404 N404:AG404">
    <cfRule type="expression" dxfId="725" priority="224">
      <formula>$E404&lt;12</formula>
    </cfRule>
    <cfRule type="expression" dxfId="724" priority="225">
      <formula>$E404=18</formula>
    </cfRule>
    <cfRule type="expression" dxfId="723" priority="226">
      <formula>$E404=17</formula>
    </cfRule>
    <cfRule type="expression" dxfId="722" priority="227">
      <formula>$E404=16</formula>
    </cfRule>
    <cfRule type="expression" dxfId="721" priority="228">
      <formula>$E404=15</formula>
    </cfRule>
    <cfRule type="expression" dxfId="720" priority="229">
      <formula>$E404=14</formula>
    </cfRule>
    <cfRule type="expression" dxfId="719" priority="230">
      <formula>$E404=13</formula>
    </cfRule>
    <cfRule type="expression" dxfId="718" priority="231">
      <formula>$E404=12</formula>
    </cfRule>
  </conditionalFormatting>
  <conditionalFormatting sqref="AJ404:XFD404 N404:AG404">
    <cfRule type="expression" dxfId="717" priority="215">
      <formula>$E404=10</formula>
    </cfRule>
    <cfRule type="expression" dxfId="716" priority="216">
      <formula>$E404=11</formula>
    </cfRule>
    <cfRule type="expression" dxfId="715" priority="217">
      <formula>$E404=18</formula>
    </cfRule>
    <cfRule type="expression" dxfId="714" priority="218">
      <formula>$E404=17</formula>
    </cfRule>
    <cfRule type="expression" dxfId="713" priority="219">
      <formula>$E404=16</formula>
    </cfRule>
    <cfRule type="expression" dxfId="712" priority="220">
      <formula>$E404=15</formula>
    </cfRule>
    <cfRule type="expression" dxfId="711" priority="221">
      <formula>$E404=14</formula>
    </cfRule>
    <cfRule type="expression" dxfId="710" priority="222">
      <formula>$E404=13</formula>
    </cfRule>
    <cfRule type="expression" dxfId="709" priority="223">
      <formula>$E404=12</formula>
    </cfRule>
  </conditionalFormatting>
  <conditionalFormatting sqref="K404">
    <cfRule type="expression" dxfId="708" priority="189">
      <formula>$E404=10</formula>
    </cfRule>
    <cfRule type="expression" dxfId="707" priority="190">
      <formula>$E404=11</formula>
    </cfRule>
    <cfRule type="expression" dxfId="706" priority="191">
      <formula>$E404=18</formula>
    </cfRule>
    <cfRule type="expression" dxfId="705" priority="192">
      <formula>$E404=17</formula>
    </cfRule>
    <cfRule type="expression" dxfId="704" priority="193">
      <formula>$E404=16</formula>
    </cfRule>
    <cfRule type="expression" dxfId="703" priority="194">
      <formula>$E404=15</formula>
    </cfRule>
    <cfRule type="expression" dxfId="702" priority="195">
      <formula>$E404=14</formula>
    </cfRule>
    <cfRule type="expression" dxfId="701" priority="196">
      <formula>$E404=13</formula>
    </cfRule>
    <cfRule type="expression" dxfId="700" priority="197">
      <formula>$E404=12</formula>
    </cfRule>
  </conditionalFormatting>
  <conditionalFormatting sqref="A404:M404">
    <cfRule type="expression" dxfId="699" priority="207">
      <formula>$E404&lt;12</formula>
    </cfRule>
    <cfRule type="expression" dxfId="698" priority="208">
      <formula>$E404=18</formula>
    </cfRule>
    <cfRule type="expression" dxfId="697" priority="209">
      <formula>$E404=17</formula>
    </cfRule>
    <cfRule type="expression" dxfId="696" priority="210">
      <formula>$E404=16</formula>
    </cfRule>
    <cfRule type="expression" dxfId="695" priority="211">
      <formula>$E404=15</formula>
    </cfRule>
    <cfRule type="expression" dxfId="694" priority="212">
      <formula>$E404=14</formula>
    </cfRule>
    <cfRule type="expression" dxfId="693" priority="213">
      <formula>$E404=13</formula>
    </cfRule>
    <cfRule type="expression" dxfId="692" priority="214">
      <formula>$E404=12</formula>
    </cfRule>
  </conditionalFormatting>
  <conditionalFormatting sqref="A404:M404">
    <cfRule type="expression" dxfId="691" priority="198">
      <formula>$E404=10</formula>
    </cfRule>
    <cfRule type="expression" dxfId="690" priority="199">
      <formula>$E404=11</formula>
    </cfRule>
    <cfRule type="expression" dxfId="689" priority="200">
      <formula>$E404=18</formula>
    </cfRule>
    <cfRule type="expression" dxfId="688" priority="201">
      <formula>$E404=17</formula>
    </cfRule>
    <cfRule type="expression" dxfId="687" priority="202">
      <formula>$E404=16</formula>
    </cfRule>
    <cfRule type="expression" dxfId="686" priority="203">
      <formula>$E404=15</formula>
    </cfRule>
    <cfRule type="expression" dxfId="685" priority="204">
      <formula>$E404=14</formula>
    </cfRule>
    <cfRule type="expression" dxfId="684" priority="205">
      <formula>$E404=13</formula>
    </cfRule>
    <cfRule type="expression" dxfId="683" priority="206">
      <formula>$E404=12</formula>
    </cfRule>
  </conditionalFormatting>
  <conditionalFormatting sqref="AJ405:XFD405 N405:AG405">
    <cfRule type="expression" dxfId="682" priority="181">
      <formula>$E405&lt;12</formula>
    </cfRule>
    <cfRule type="expression" dxfId="681" priority="182">
      <formula>$E405=18</formula>
    </cfRule>
    <cfRule type="expression" dxfId="680" priority="183">
      <formula>$E405=17</formula>
    </cfRule>
    <cfRule type="expression" dxfId="679" priority="184">
      <formula>$E405=16</formula>
    </cfRule>
    <cfRule type="expression" dxfId="678" priority="185">
      <formula>$E405=15</formula>
    </cfRule>
    <cfRule type="expression" dxfId="677" priority="186">
      <formula>$E405=14</formula>
    </cfRule>
    <cfRule type="expression" dxfId="676" priority="187">
      <formula>$E405=13</formula>
    </cfRule>
    <cfRule type="expression" dxfId="675" priority="188">
      <formula>$E405=12</formula>
    </cfRule>
  </conditionalFormatting>
  <conditionalFormatting sqref="AJ405:XFD405 N405:AG405">
    <cfRule type="expression" dxfId="674" priority="172">
      <formula>$E405=10</formula>
    </cfRule>
    <cfRule type="expression" dxfId="673" priority="173">
      <formula>$E405=11</formula>
    </cfRule>
    <cfRule type="expression" dxfId="672" priority="174">
      <formula>$E405=18</formula>
    </cfRule>
    <cfRule type="expression" dxfId="671" priority="175">
      <formula>$E405=17</formula>
    </cfRule>
    <cfRule type="expression" dxfId="670" priority="176">
      <formula>$E405=16</formula>
    </cfRule>
    <cfRule type="expression" dxfId="669" priority="177">
      <formula>$E405=15</formula>
    </cfRule>
    <cfRule type="expression" dxfId="668" priority="178">
      <formula>$E405=14</formula>
    </cfRule>
    <cfRule type="expression" dxfId="667" priority="179">
      <formula>$E405=13</formula>
    </cfRule>
    <cfRule type="expression" dxfId="666" priority="180">
      <formula>$E405=12</formula>
    </cfRule>
  </conditionalFormatting>
  <conditionalFormatting sqref="G405:J405 L405:M405">
    <cfRule type="expression" dxfId="665" priority="164">
      <formula>$E405&lt;12</formula>
    </cfRule>
    <cfRule type="expression" dxfId="664" priority="165">
      <formula>$E405=18</formula>
    </cfRule>
    <cfRule type="expression" dxfId="663" priority="166">
      <formula>$E405=17</formula>
    </cfRule>
    <cfRule type="expression" dxfId="662" priority="167">
      <formula>$E405=16</formula>
    </cfRule>
    <cfRule type="expression" dxfId="661" priority="168">
      <formula>$E405=15</formula>
    </cfRule>
    <cfRule type="expression" dxfId="660" priority="169">
      <formula>$E405=14</formula>
    </cfRule>
    <cfRule type="expression" dxfId="659" priority="170">
      <formula>$E405=13</formula>
    </cfRule>
    <cfRule type="expression" dxfId="658" priority="171">
      <formula>$E405=12</formula>
    </cfRule>
  </conditionalFormatting>
  <conditionalFormatting sqref="G405:J405 L405:M405">
    <cfRule type="expression" dxfId="657" priority="155">
      <formula>$E405=10</formula>
    </cfRule>
    <cfRule type="expression" dxfId="656" priority="156">
      <formula>$E405=11</formula>
    </cfRule>
    <cfRule type="expression" dxfId="655" priority="157">
      <formula>$E405=18</formula>
    </cfRule>
    <cfRule type="expression" dxfId="654" priority="158">
      <formula>$E405=17</formula>
    </cfRule>
    <cfRule type="expression" dxfId="653" priority="159">
      <formula>$E405=16</formula>
    </cfRule>
    <cfRule type="expression" dxfId="652" priority="160">
      <formula>$E405=15</formula>
    </cfRule>
    <cfRule type="expression" dxfId="651" priority="161">
      <formula>$E405=14</formula>
    </cfRule>
    <cfRule type="expression" dxfId="650" priority="162">
      <formula>$E405=13</formula>
    </cfRule>
    <cfRule type="expression" dxfId="649" priority="163">
      <formula>$E405=12</formula>
    </cfRule>
  </conditionalFormatting>
  <conditionalFormatting sqref="A405:F405">
    <cfRule type="expression" dxfId="648" priority="147">
      <formula>$E405&lt;12</formula>
    </cfRule>
    <cfRule type="expression" dxfId="647" priority="148">
      <formula>$E405=18</formula>
    </cfRule>
    <cfRule type="expression" dxfId="646" priority="149">
      <formula>$E405=17</formula>
    </cfRule>
    <cfRule type="expression" dxfId="645" priority="150">
      <formula>$E405=16</formula>
    </cfRule>
    <cfRule type="expression" dxfId="644" priority="151">
      <formula>$E405=15</formula>
    </cfRule>
    <cfRule type="expression" dxfId="643" priority="152">
      <formula>$E405=14</formula>
    </cfRule>
    <cfRule type="expression" dxfId="642" priority="153">
      <formula>$E405=13</formula>
    </cfRule>
    <cfRule type="expression" dxfId="641" priority="154">
      <formula>$E405=12</formula>
    </cfRule>
  </conditionalFormatting>
  <conditionalFormatting sqref="A405:F405">
    <cfRule type="expression" dxfId="640" priority="138">
      <formula>$E405=10</formula>
    </cfRule>
    <cfRule type="expression" dxfId="639" priority="139">
      <formula>$E405=11</formula>
    </cfRule>
    <cfRule type="expression" dxfId="638" priority="140">
      <formula>$E405=18</formula>
    </cfRule>
    <cfRule type="expression" dxfId="637" priority="141">
      <formula>$E405=17</formula>
    </cfRule>
    <cfRule type="expression" dxfId="636" priority="142">
      <formula>$E405=16</formula>
    </cfRule>
    <cfRule type="expression" dxfId="635" priority="143">
      <formula>$E405=15</formula>
    </cfRule>
    <cfRule type="expression" dxfId="634" priority="144">
      <formula>$E405=14</formula>
    </cfRule>
    <cfRule type="expression" dxfId="633" priority="145">
      <formula>$E405=13</formula>
    </cfRule>
    <cfRule type="expression" dxfId="632" priority="146">
      <formula>$E405=12</formula>
    </cfRule>
  </conditionalFormatting>
  <conditionalFormatting sqref="K405">
    <cfRule type="expression" dxfId="631" priority="112">
      <formula>$E405=10</formula>
    </cfRule>
    <cfRule type="expression" dxfId="630" priority="113">
      <formula>$E405=11</formula>
    </cfRule>
    <cfRule type="expression" dxfId="629" priority="114">
      <formula>$E405=18</formula>
    </cfRule>
    <cfRule type="expression" dxfId="628" priority="115">
      <formula>$E405=17</formula>
    </cfRule>
    <cfRule type="expression" dxfId="627" priority="116">
      <formula>$E405=16</formula>
    </cfRule>
    <cfRule type="expression" dxfId="626" priority="117">
      <formula>$E405=15</formula>
    </cfRule>
    <cfRule type="expression" dxfId="625" priority="118">
      <formula>$E405=14</formula>
    </cfRule>
    <cfRule type="expression" dxfId="624" priority="119">
      <formula>$E405=13</formula>
    </cfRule>
    <cfRule type="expression" dxfId="623" priority="120">
      <formula>$E405=12</formula>
    </cfRule>
  </conditionalFormatting>
  <conditionalFormatting sqref="K405">
    <cfRule type="expression" dxfId="622" priority="130">
      <formula>$E405&lt;12</formula>
    </cfRule>
    <cfRule type="expression" dxfId="621" priority="131">
      <formula>$E405=18</formula>
    </cfRule>
    <cfRule type="expression" dxfId="620" priority="132">
      <formula>$E405=17</formula>
    </cfRule>
    <cfRule type="expression" dxfId="619" priority="133">
      <formula>$E405=16</formula>
    </cfRule>
    <cfRule type="expression" dxfId="618" priority="134">
      <formula>$E405=15</formula>
    </cfRule>
    <cfRule type="expression" dxfId="617" priority="135">
      <formula>$E405=14</formula>
    </cfRule>
    <cfRule type="expression" dxfId="616" priority="136">
      <formula>$E405=13</formula>
    </cfRule>
    <cfRule type="expression" dxfId="615" priority="137">
      <formula>$E405=12</formula>
    </cfRule>
  </conditionalFormatting>
  <conditionalFormatting sqref="K405">
    <cfRule type="expression" dxfId="614" priority="121">
      <formula>$E405=10</formula>
    </cfRule>
    <cfRule type="expression" dxfId="613" priority="122">
      <formula>$E405=11</formula>
    </cfRule>
    <cfRule type="expression" dxfId="612" priority="123">
      <formula>$E405=18</formula>
    </cfRule>
    <cfRule type="expression" dxfId="611" priority="124">
      <formula>$E405=17</formula>
    </cfRule>
    <cfRule type="expression" dxfId="610" priority="125">
      <formula>$E405=16</formula>
    </cfRule>
    <cfRule type="expression" dxfId="609" priority="126">
      <formula>$E405=15</formula>
    </cfRule>
    <cfRule type="expression" dxfId="608" priority="127">
      <formula>$E405=14</formula>
    </cfRule>
    <cfRule type="expression" dxfId="607" priority="128">
      <formula>$E405=13</formula>
    </cfRule>
    <cfRule type="expression" dxfId="606" priority="129">
      <formula>$E405=12</formula>
    </cfRule>
  </conditionalFormatting>
  <conditionalFormatting sqref="A406:F406">
    <cfRule type="expression" dxfId="605" priority="104">
      <formula>$E406&lt;12</formula>
    </cfRule>
    <cfRule type="expression" dxfId="604" priority="105">
      <formula>$E406=18</formula>
    </cfRule>
    <cfRule type="expression" dxfId="603" priority="106">
      <formula>$E406=17</formula>
    </cfRule>
    <cfRule type="expression" dxfId="602" priority="107">
      <formula>$E406=16</formula>
    </cfRule>
    <cfRule type="expression" dxfId="601" priority="108">
      <formula>$E406=15</formula>
    </cfRule>
    <cfRule type="expression" dxfId="600" priority="109">
      <formula>$E406=14</formula>
    </cfRule>
    <cfRule type="expression" dxfId="599" priority="110">
      <formula>$E406=13</formula>
    </cfRule>
    <cfRule type="expression" dxfId="598" priority="111">
      <formula>$E406=12</formula>
    </cfRule>
  </conditionalFormatting>
  <conditionalFormatting sqref="A406:F406">
    <cfRule type="expression" dxfId="597" priority="95">
      <formula>$E406=10</formula>
    </cfRule>
    <cfRule type="expression" dxfId="596" priority="96">
      <formula>$E406=11</formula>
    </cfRule>
    <cfRule type="expression" dxfId="595" priority="97">
      <formula>$E406=18</formula>
    </cfRule>
    <cfRule type="expression" dxfId="594" priority="98">
      <formula>$E406=17</formula>
    </cfRule>
    <cfRule type="expression" dxfId="593" priority="99">
      <formula>$E406=16</formula>
    </cfRule>
    <cfRule type="expression" dxfId="592" priority="100">
      <formula>$E406=15</formula>
    </cfRule>
    <cfRule type="expression" dxfId="591" priority="101">
      <formula>$E406=14</formula>
    </cfRule>
    <cfRule type="expression" dxfId="590" priority="102">
      <formula>$E406=13</formula>
    </cfRule>
    <cfRule type="expression" dxfId="589" priority="103">
      <formula>$E406=12</formula>
    </cfRule>
  </conditionalFormatting>
  <conditionalFormatting sqref="L406:M406">
    <cfRule type="expression" dxfId="588" priority="87">
      <formula>$E406&lt;12</formula>
    </cfRule>
    <cfRule type="expression" dxfId="587" priority="88">
      <formula>$E406=18</formula>
    </cfRule>
    <cfRule type="expression" dxfId="586" priority="89">
      <formula>$E406=17</formula>
    </cfRule>
    <cfRule type="expression" dxfId="585" priority="90">
      <formula>$E406=16</formula>
    </cfRule>
    <cfRule type="expression" dxfId="584" priority="91">
      <formula>$E406=15</formula>
    </cfRule>
    <cfRule type="expression" dxfId="583" priority="92">
      <formula>$E406=14</formula>
    </cfRule>
    <cfRule type="expression" dxfId="582" priority="93">
      <formula>$E406=13</formula>
    </cfRule>
    <cfRule type="expression" dxfId="581" priority="94">
      <formula>$E406=12</formula>
    </cfRule>
  </conditionalFormatting>
  <conditionalFormatting sqref="L406:M406">
    <cfRule type="expression" dxfId="580" priority="78">
      <formula>$E406=10</formula>
    </cfRule>
    <cfRule type="expression" dxfId="579" priority="79">
      <formula>$E406=11</formula>
    </cfRule>
    <cfRule type="expression" dxfId="578" priority="80">
      <formula>$E406=18</formula>
    </cfRule>
    <cfRule type="expression" dxfId="577" priority="81">
      <formula>$E406=17</formula>
    </cfRule>
    <cfRule type="expression" dxfId="576" priority="82">
      <formula>$E406=16</formula>
    </cfRule>
    <cfRule type="expression" dxfId="575" priority="83">
      <formula>$E406=15</formula>
    </cfRule>
    <cfRule type="expression" dxfId="574" priority="84">
      <formula>$E406=14</formula>
    </cfRule>
    <cfRule type="expression" dxfId="573" priority="85">
      <formula>$E406=13</formula>
    </cfRule>
    <cfRule type="expression" dxfId="572" priority="86">
      <formula>$E406=12</formula>
    </cfRule>
  </conditionalFormatting>
  <conditionalFormatting sqref="K406">
    <cfRule type="expression" dxfId="571" priority="52">
      <formula>$E406=10</formula>
    </cfRule>
    <cfRule type="expression" dxfId="570" priority="53">
      <formula>$E406=11</formula>
    </cfRule>
    <cfRule type="expression" dxfId="569" priority="54">
      <formula>$E406=18</formula>
    </cfRule>
    <cfRule type="expression" dxfId="568" priority="55">
      <formula>$E406=17</formula>
    </cfRule>
    <cfRule type="expression" dxfId="567" priority="56">
      <formula>$E406=16</formula>
    </cfRule>
    <cfRule type="expression" dxfId="566" priority="57">
      <formula>$E406=15</formula>
    </cfRule>
    <cfRule type="expression" dxfId="565" priority="58">
      <formula>$E406=14</formula>
    </cfRule>
    <cfRule type="expression" dxfId="564" priority="59">
      <formula>$E406=13</formula>
    </cfRule>
    <cfRule type="expression" dxfId="563" priority="60">
      <formula>$E406=12</formula>
    </cfRule>
  </conditionalFormatting>
  <conditionalFormatting sqref="K406">
    <cfRule type="expression" dxfId="562" priority="70">
      <formula>$E406&lt;12</formula>
    </cfRule>
    <cfRule type="expression" dxfId="561" priority="71">
      <formula>$E406=18</formula>
    </cfRule>
    <cfRule type="expression" dxfId="560" priority="72">
      <formula>$E406=17</formula>
    </cfRule>
    <cfRule type="expression" dxfId="559" priority="73">
      <formula>$E406=16</formula>
    </cfRule>
    <cfRule type="expression" dxfId="558" priority="74">
      <formula>$E406=15</formula>
    </cfRule>
    <cfRule type="expression" dxfId="557" priority="75">
      <formula>$E406=14</formula>
    </cfRule>
    <cfRule type="expression" dxfId="556" priority="76">
      <formula>$E406=13</formula>
    </cfRule>
    <cfRule type="expression" dxfId="555" priority="77">
      <formula>$E406=12</formula>
    </cfRule>
  </conditionalFormatting>
  <conditionalFormatting sqref="K406">
    <cfRule type="expression" dxfId="554" priority="61">
      <formula>$E406=10</formula>
    </cfRule>
    <cfRule type="expression" dxfId="553" priority="62">
      <formula>$E406=11</formula>
    </cfRule>
    <cfRule type="expression" dxfId="552" priority="63">
      <formula>$E406=18</formula>
    </cfRule>
    <cfRule type="expression" dxfId="551" priority="64">
      <formula>$E406=17</formula>
    </cfRule>
    <cfRule type="expression" dxfId="550" priority="65">
      <formula>$E406=16</formula>
    </cfRule>
    <cfRule type="expression" dxfId="549" priority="66">
      <formula>$E406=15</formula>
    </cfRule>
    <cfRule type="expression" dxfId="548" priority="67">
      <formula>$E406=14</formula>
    </cfRule>
    <cfRule type="expression" dxfId="547" priority="68">
      <formula>$E406=13</formula>
    </cfRule>
    <cfRule type="expression" dxfId="546" priority="69">
      <formula>$E406=12</formula>
    </cfRule>
  </conditionalFormatting>
  <conditionalFormatting sqref="A408:F412">
    <cfRule type="expression" dxfId="545" priority="44">
      <formula>$E408&lt;12</formula>
    </cfRule>
    <cfRule type="expression" dxfId="544" priority="45">
      <formula>$E408=18</formula>
    </cfRule>
    <cfRule type="expression" dxfId="543" priority="46">
      <formula>$E408=17</formula>
    </cfRule>
    <cfRule type="expression" dxfId="542" priority="47">
      <formula>$E408=16</formula>
    </cfRule>
    <cfRule type="expression" dxfId="541" priority="48">
      <formula>$E408=15</formula>
    </cfRule>
    <cfRule type="expression" dxfId="540" priority="49">
      <formula>$E408=14</formula>
    </cfRule>
    <cfRule type="expression" dxfId="539" priority="50">
      <formula>$E408=13</formula>
    </cfRule>
    <cfRule type="expression" dxfId="538" priority="51">
      <formula>$E408=12</formula>
    </cfRule>
  </conditionalFormatting>
  <conditionalFormatting sqref="A408:F412">
    <cfRule type="expression" dxfId="537" priority="35">
      <formula>$E408=10</formula>
    </cfRule>
    <cfRule type="expression" dxfId="536" priority="36">
      <formula>$E408=11</formula>
    </cfRule>
    <cfRule type="expression" dxfId="535" priority="37">
      <formula>$E408=18</formula>
    </cfRule>
    <cfRule type="expression" dxfId="534" priority="38">
      <formula>$E408=17</formula>
    </cfRule>
    <cfRule type="expression" dxfId="533" priority="39">
      <formula>$E408=16</formula>
    </cfRule>
    <cfRule type="expression" dxfId="532" priority="40">
      <formula>$E408=15</formula>
    </cfRule>
    <cfRule type="expression" dxfId="531" priority="41">
      <formula>$E408=14</formula>
    </cfRule>
    <cfRule type="expression" dxfId="530" priority="42">
      <formula>$E408=13</formula>
    </cfRule>
    <cfRule type="expression" dxfId="529" priority="43">
      <formula>$E408=12</formula>
    </cfRule>
  </conditionalFormatting>
  <conditionalFormatting sqref="A414:F418">
    <cfRule type="expression" dxfId="528" priority="27">
      <formula>$E414&lt;12</formula>
    </cfRule>
    <cfRule type="expression" dxfId="527" priority="28">
      <formula>$E414=18</formula>
    </cfRule>
    <cfRule type="expression" dxfId="526" priority="29">
      <formula>$E414=17</formula>
    </cfRule>
    <cfRule type="expression" dxfId="525" priority="30">
      <formula>$E414=16</formula>
    </cfRule>
    <cfRule type="expression" dxfId="524" priority="31">
      <formula>$E414=15</formula>
    </cfRule>
    <cfRule type="expression" dxfId="523" priority="32">
      <formula>$E414=14</formula>
    </cfRule>
    <cfRule type="expression" dxfId="522" priority="33">
      <formula>$E414=13</formula>
    </cfRule>
    <cfRule type="expression" dxfId="521" priority="34">
      <formula>$E414=12</formula>
    </cfRule>
  </conditionalFormatting>
  <conditionalFormatting sqref="A414:F418">
    <cfRule type="expression" dxfId="520" priority="18">
      <formula>$E414=10</formula>
    </cfRule>
    <cfRule type="expression" dxfId="519" priority="19">
      <formula>$E414=11</formula>
    </cfRule>
    <cfRule type="expression" dxfId="518" priority="20">
      <formula>$E414=18</formula>
    </cfRule>
    <cfRule type="expression" dxfId="517" priority="21">
      <formula>$E414=17</formula>
    </cfRule>
    <cfRule type="expression" dxfId="516" priority="22">
      <formula>$E414=16</formula>
    </cfRule>
    <cfRule type="expression" dxfId="515" priority="23">
      <formula>$E414=15</formula>
    </cfRule>
    <cfRule type="expression" dxfId="514" priority="24">
      <formula>$E414=14</formula>
    </cfRule>
    <cfRule type="expression" dxfId="513" priority="25">
      <formula>$E414=13</formula>
    </cfRule>
    <cfRule type="expression" dxfId="512" priority="26">
      <formula>$E414=12</formula>
    </cfRule>
  </conditionalFormatting>
  <conditionalFormatting sqref="A420:F420">
    <cfRule type="expression" dxfId="511" priority="10">
      <formula>$E420&lt;12</formula>
    </cfRule>
    <cfRule type="expression" dxfId="510" priority="11">
      <formula>$E420=18</formula>
    </cfRule>
    <cfRule type="expression" dxfId="509" priority="12">
      <formula>$E420=17</formula>
    </cfRule>
    <cfRule type="expression" dxfId="508" priority="13">
      <formula>$E420=16</formula>
    </cfRule>
    <cfRule type="expression" dxfId="507" priority="14">
      <formula>$E420=15</formula>
    </cfRule>
    <cfRule type="expression" dxfId="506" priority="15">
      <formula>$E420=14</formula>
    </cfRule>
    <cfRule type="expression" dxfId="505" priority="16">
      <formula>$E420=13</formula>
    </cfRule>
    <cfRule type="expression" dxfId="504" priority="17">
      <formula>$E420=12</formula>
    </cfRule>
  </conditionalFormatting>
  <conditionalFormatting sqref="A420:F420">
    <cfRule type="expression" dxfId="503" priority="1">
      <formula>$E420=10</formula>
    </cfRule>
    <cfRule type="expression" dxfId="502" priority="2">
      <formula>$E420=11</formula>
    </cfRule>
    <cfRule type="expression" dxfId="501" priority="3">
      <formula>$E420=18</formula>
    </cfRule>
    <cfRule type="expression" dxfId="500" priority="4">
      <formula>$E420=17</formula>
    </cfRule>
    <cfRule type="expression" dxfId="499" priority="5">
      <formula>$E420=16</formula>
    </cfRule>
    <cfRule type="expression" dxfId="498" priority="6">
      <formula>$E420=15</formula>
    </cfRule>
    <cfRule type="expression" dxfId="497" priority="7">
      <formula>$E420=14</formula>
    </cfRule>
    <cfRule type="expression" dxfId="496" priority="8">
      <formula>$E420=13</formula>
    </cfRule>
    <cfRule type="expression" dxfId="495" priority="9">
      <formula>$E420=12</formula>
    </cfRule>
  </conditionalFormatting>
  <hyperlinks>
    <hyperlink ref="I353" r:id="rId1" display="https://aes1.advancedeventsystems.com/Event/Volleyball/EventTeamInfo.aspx?ZCruShzPjMGv6cuivzEZ3bdHnxan7utPe-38b2URl8mzU62jttSjG3kENzzLrFO5DJ2gC4tYCpITNOPe7kWQLp22OSbVlCGBuLUYcUJcvMs1mfXaIumiL4opmJlO0to20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0"/>
  <sheetViews>
    <sheetView workbookViewId="0">
      <pane ySplit="1" topLeftCell="A17" activePane="bottomLeft" state="frozen"/>
      <selection pane="bottomLeft" activeCell="H33" sqref="H33"/>
    </sheetView>
  </sheetViews>
  <sheetFormatPr defaultColWidth="9.109375" defaultRowHeight="14.4" x14ac:dyDescent="0.3"/>
  <cols>
    <col min="1" max="1" width="5.44140625" style="420" customWidth="1"/>
    <col min="2" max="2" width="2" style="420" customWidth="1"/>
    <col min="3" max="3" width="3" style="420" customWidth="1"/>
    <col min="4" max="4" width="5.33203125" style="420" customWidth="1"/>
    <col min="5" max="5" width="4.44140625" style="420" customWidth="1"/>
    <col min="6" max="6" width="7.109375" style="420" customWidth="1"/>
    <col min="7" max="7" width="13.88671875" style="420" customWidth="1"/>
    <col min="8" max="8" width="36.88671875" style="420" customWidth="1"/>
    <col min="9" max="9" width="28.44140625" style="420" customWidth="1"/>
    <col min="10" max="10" width="5.6640625" style="420" customWidth="1"/>
    <col min="11" max="11" width="13.88671875" style="421" customWidth="1"/>
    <col min="12" max="12" width="5" style="420" customWidth="1"/>
    <col min="13" max="13" width="10" style="421" customWidth="1"/>
    <col min="14" max="27" width="7.5546875" style="420" customWidth="1"/>
    <col min="28" max="33" width="9.109375" style="420"/>
    <col min="34" max="35" width="12" style="424" customWidth="1"/>
    <col min="36" max="16384" width="9.109375" style="420"/>
  </cols>
  <sheetData>
    <row r="1" spans="1:27" ht="27" x14ac:dyDescent="0.3">
      <c r="A1" s="419" t="s">
        <v>169</v>
      </c>
      <c r="C1" s="420" t="s">
        <v>170</v>
      </c>
      <c r="D1" s="420" t="s">
        <v>171</v>
      </c>
      <c r="E1" s="420" t="s">
        <v>15</v>
      </c>
      <c r="F1" s="420" t="s">
        <v>172</v>
      </c>
      <c r="G1" s="420" t="s">
        <v>173</v>
      </c>
      <c r="H1" s="420" t="s">
        <v>174</v>
      </c>
      <c r="I1" s="420" t="s">
        <v>8</v>
      </c>
      <c r="J1" s="420" t="s">
        <v>175</v>
      </c>
      <c r="K1" s="421" t="s">
        <v>176</v>
      </c>
      <c r="M1" s="421" t="s">
        <v>88</v>
      </c>
      <c r="N1" s="422" t="s">
        <v>177</v>
      </c>
      <c r="O1" s="422" t="s">
        <v>178</v>
      </c>
      <c r="P1" s="422" t="s">
        <v>179</v>
      </c>
      <c r="Q1" s="422" t="s">
        <v>180</v>
      </c>
      <c r="R1" s="422" t="s">
        <v>181</v>
      </c>
      <c r="S1" s="422" t="s">
        <v>182</v>
      </c>
      <c r="T1" s="422" t="s">
        <v>183</v>
      </c>
      <c r="U1" s="422" t="s">
        <v>184</v>
      </c>
      <c r="V1" s="422" t="s">
        <v>185</v>
      </c>
      <c r="W1" s="422" t="s">
        <v>186</v>
      </c>
      <c r="X1" s="422" t="s">
        <v>187</v>
      </c>
      <c r="Y1" s="422" t="s">
        <v>188</v>
      </c>
      <c r="Z1" s="422" t="s">
        <v>189</v>
      </c>
      <c r="AA1" s="422" t="s">
        <v>190</v>
      </c>
    </row>
    <row r="2" spans="1:27" x14ac:dyDescent="0.3">
      <c r="A2" s="420">
        <v>2</v>
      </c>
      <c r="C2" s="420">
        <f>IF(E2=E1,C1+1,1)</f>
        <v>1</v>
      </c>
      <c r="D2" s="420">
        <f>IF(K2=K1,D1,C2)</f>
        <v>1</v>
      </c>
      <c r="E2" s="420">
        <f>10+VALUE(RIGHT(LEFT(G2,3),1))</f>
        <v>11</v>
      </c>
      <c r="F2" s="420" t="str">
        <f>RIGHT(G2,2) &amp; IF(A2&lt;2,"x","")</f>
        <v>pm</v>
      </c>
      <c r="G2" s="420" t="s">
        <v>191</v>
      </c>
      <c r="H2" s="420" t="s">
        <v>192</v>
      </c>
      <c r="I2" s="420" t="s">
        <v>193</v>
      </c>
      <c r="K2" s="421">
        <f>LOOKUP(1E+100,M2:AB2)</f>
        <v>1545.059815930156</v>
      </c>
      <c r="M2" s="421">
        <v>1600</v>
      </c>
      <c r="P2" s="420">
        <v>1545.059815930156</v>
      </c>
    </row>
    <row r="3" spans="1:27" x14ac:dyDescent="0.3">
      <c r="A3" s="420">
        <v>2</v>
      </c>
      <c r="C3" s="420">
        <f>IF(E3=E2,C2+1,1)</f>
        <v>2</v>
      </c>
      <c r="D3" s="420">
        <f>IF(K3=K2,D2,C3)</f>
        <v>2</v>
      </c>
      <c r="E3" s="420">
        <f>10+VALUE(RIGHT(LEFT(G3,3),1))</f>
        <v>11</v>
      </c>
      <c r="F3" s="420" t="str">
        <f>RIGHT(G3,2) &amp; IF(A3&lt;2,"x","")</f>
        <v>pm</v>
      </c>
      <c r="G3" s="420" t="s">
        <v>194</v>
      </c>
      <c r="H3" s="420" t="s">
        <v>192</v>
      </c>
      <c r="I3" s="420" t="s">
        <v>195</v>
      </c>
      <c r="K3" s="421">
        <f>LOOKUP(1E+100,M3:AB3)</f>
        <v>1493.4578356862332</v>
      </c>
      <c r="M3" s="421">
        <v>1600</v>
      </c>
      <c r="P3" s="420">
        <v>1493.4578356862332</v>
      </c>
    </row>
    <row r="4" spans="1:27" x14ac:dyDescent="0.3">
      <c r="A4" s="420">
        <v>2</v>
      </c>
      <c r="C4" s="420">
        <f>IF(E4=E3,C3+1,1)</f>
        <v>3</v>
      </c>
      <c r="D4" s="420">
        <f>IF(K4=K3,D3,C4)</f>
        <v>3</v>
      </c>
      <c r="E4" s="420">
        <f>10+VALUE(RIGHT(LEFT(G4,3),1))</f>
        <v>11</v>
      </c>
      <c r="F4" s="420" t="str">
        <f>RIGHT(G4,2) &amp; IF(A4&lt;2,"x","")</f>
        <v>pm</v>
      </c>
      <c r="G4" s="426" t="s">
        <v>162</v>
      </c>
      <c r="H4" s="429" t="s">
        <v>1070</v>
      </c>
      <c r="I4" s="426" t="s">
        <v>161</v>
      </c>
      <c r="K4" s="421">
        <f>LOOKUP(1E+100,M4:AB4)</f>
        <v>1264.7519205331801</v>
      </c>
      <c r="M4" s="421">
        <v>1200</v>
      </c>
      <c r="P4" s="420">
        <v>1264.7519205331801</v>
      </c>
    </row>
    <row r="5" spans="1:27" x14ac:dyDescent="0.3">
      <c r="A5" s="420">
        <v>2</v>
      </c>
      <c r="C5" s="420">
        <f>IF(E5=E4,C4+1,1)</f>
        <v>4</v>
      </c>
      <c r="D5" s="420">
        <f>IF(K5=K4,D4,C5)</f>
        <v>4</v>
      </c>
      <c r="E5" s="420">
        <f>10+VALUE(RIGHT(LEFT(G5,3),1))</f>
        <v>11</v>
      </c>
      <c r="F5" s="420" t="str">
        <f>RIGHT(G5,2) &amp; IF(A5&lt;2,"x","")</f>
        <v>pm</v>
      </c>
      <c r="G5" s="426" t="s">
        <v>164</v>
      </c>
      <c r="H5" s="429" t="s">
        <v>1070</v>
      </c>
      <c r="I5" s="426" t="s">
        <v>163</v>
      </c>
      <c r="K5" s="421">
        <f>LOOKUP(1E+100,M5:AB5)</f>
        <v>1237.1306917502143</v>
      </c>
      <c r="M5" s="421">
        <v>1200</v>
      </c>
      <c r="P5" s="420">
        <v>1237.1306917502143</v>
      </c>
    </row>
    <row r="6" spans="1:27" x14ac:dyDescent="0.3">
      <c r="A6" s="420">
        <v>2</v>
      </c>
      <c r="C6" s="420">
        <f>IF(E6=E5,C5+1,1)</f>
        <v>5</v>
      </c>
      <c r="D6" s="420">
        <f>IF(K6=K5,D5,C6)</f>
        <v>5</v>
      </c>
      <c r="E6" s="420">
        <f>10+VALUE(RIGHT(LEFT(G6,3),1))</f>
        <v>11</v>
      </c>
      <c r="F6" s="420" t="str">
        <f>RIGHT(G6,2) &amp; IF(A6&lt;2,"x","")</f>
        <v>pm</v>
      </c>
      <c r="G6" s="426" t="s">
        <v>160</v>
      </c>
      <c r="H6" s="429" t="s">
        <v>1070</v>
      </c>
      <c r="I6" s="426" t="s">
        <v>159</v>
      </c>
      <c r="K6" s="421">
        <f>LOOKUP(1E+100,M6:AB6)</f>
        <v>1225.0627938110126</v>
      </c>
      <c r="M6" s="421">
        <v>1200</v>
      </c>
      <c r="P6" s="420">
        <v>1225.0627938110126</v>
      </c>
    </row>
    <row r="7" spans="1:27" x14ac:dyDescent="0.3">
      <c r="A7" s="420">
        <v>2</v>
      </c>
      <c r="C7" s="420">
        <f>IF(E7=E6,C6+1,1)</f>
        <v>6</v>
      </c>
      <c r="D7" s="420">
        <f>IF(K7=K6,D6,C7)</f>
        <v>6</v>
      </c>
      <c r="E7" s="420">
        <f>10+VALUE(RIGHT(LEFT(G7,3),1))</f>
        <v>11</v>
      </c>
      <c r="F7" s="420" t="str">
        <f>RIGHT(G7,2) &amp; IF(A7&lt;2,"x","")</f>
        <v>pm</v>
      </c>
      <c r="G7" s="426" t="s">
        <v>148</v>
      </c>
      <c r="H7" s="429" t="s">
        <v>801</v>
      </c>
      <c r="I7" s="426" t="s">
        <v>147</v>
      </c>
      <c r="K7" s="421">
        <f>LOOKUP(1E+100,M7:AB7)</f>
        <v>1213.4507817912975</v>
      </c>
      <c r="M7" s="421">
        <v>1200</v>
      </c>
      <c r="P7" s="420">
        <v>1213.4507817912975</v>
      </c>
    </row>
    <row r="8" spans="1:27" x14ac:dyDescent="0.3">
      <c r="A8" s="420">
        <v>2</v>
      </c>
      <c r="C8" s="420">
        <f>IF(E8=E7,C7+1,1)</f>
        <v>7</v>
      </c>
      <c r="D8" s="420">
        <f>IF(K8=K7,D7,C8)</f>
        <v>7</v>
      </c>
      <c r="E8" s="420">
        <f>10+VALUE(RIGHT(LEFT(G8,3),1))</f>
        <v>11</v>
      </c>
      <c r="F8" s="420" t="str">
        <f>RIGHT(G8,2) &amp; IF(A8&lt;2,"x","")</f>
        <v>pm</v>
      </c>
      <c r="G8" s="420" t="s">
        <v>199</v>
      </c>
      <c r="H8" s="420" t="s">
        <v>200</v>
      </c>
      <c r="I8" s="420" t="s">
        <v>201</v>
      </c>
      <c r="K8" s="421">
        <f>LOOKUP(1E+100,M8:AB8)</f>
        <v>1200</v>
      </c>
      <c r="M8" s="421">
        <v>1200</v>
      </c>
    </row>
    <row r="9" spans="1:27" x14ac:dyDescent="0.3">
      <c r="A9" s="420">
        <v>2</v>
      </c>
      <c r="C9" s="420">
        <f>IF(E9=E8,C8+1,1)</f>
        <v>1</v>
      </c>
      <c r="D9" s="420">
        <f>IF(K9=K8,D8,C9)</f>
        <v>1</v>
      </c>
      <c r="E9" s="420">
        <f>10+VALUE(RIGHT(LEFT(G9,3),1))</f>
        <v>12</v>
      </c>
      <c r="F9" s="420" t="str">
        <f>RIGHT(G9,2) &amp; IF(A9&lt;2,"x","")</f>
        <v>pm</v>
      </c>
      <c r="G9" s="420" t="s">
        <v>226</v>
      </c>
      <c r="H9" s="420" t="s">
        <v>227</v>
      </c>
      <c r="I9" s="420" t="s">
        <v>228</v>
      </c>
      <c r="K9" s="421">
        <f>LOOKUP(1E+100,M9:AB9)</f>
        <v>1701.529408586621</v>
      </c>
      <c r="M9" s="421">
        <v>1600</v>
      </c>
      <c r="O9" s="420">
        <v>1701.529408586621</v>
      </c>
    </row>
    <row r="10" spans="1:27" x14ac:dyDescent="0.3">
      <c r="A10" s="420">
        <v>2</v>
      </c>
      <c r="C10" s="420">
        <f>IF(E10=E9,C9+1,1)</f>
        <v>2</v>
      </c>
      <c r="D10" s="420">
        <f>IF(K10=K9,D9,C10)</f>
        <v>2</v>
      </c>
      <c r="E10" s="420">
        <f>10+VALUE(RIGHT(LEFT(G10,3),1))</f>
        <v>12</v>
      </c>
      <c r="F10" s="420" t="str">
        <f>RIGHT(G10,2) &amp; IF(A10&lt;2,"x","")</f>
        <v>pm</v>
      </c>
      <c r="G10" s="420" t="s">
        <v>214</v>
      </c>
      <c r="H10" s="420" t="s">
        <v>215</v>
      </c>
      <c r="I10" s="420" t="s">
        <v>216</v>
      </c>
      <c r="K10" s="421">
        <f>LOOKUP(1E+100,M10:AB10)</f>
        <v>1672.0912540760935</v>
      </c>
      <c r="M10" s="421">
        <v>1600</v>
      </c>
      <c r="P10" s="420">
        <v>1672.0912540760935</v>
      </c>
    </row>
    <row r="11" spans="1:27" x14ac:dyDescent="0.3">
      <c r="A11" s="420">
        <v>5</v>
      </c>
      <c r="C11" s="420">
        <f>IF(E11=E10,C10+1,1)</f>
        <v>3</v>
      </c>
      <c r="D11" s="420">
        <f>IF(K11=K10,D10,C11)</f>
        <v>3</v>
      </c>
      <c r="E11" s="420">
        <f>10+VALUE(RIGHT(LEFT(G11,3),1))</f>
        <v>12</v>
      </c>
      <c r="F11" s="420" t="str">
        <f>RIGHT(G11,2) &amp; IF(A11&lt;2,"x","")</f>
        <v>pm</v>
      </c>
      <c r="G11" s="420" t="s">
        <v>229</v>
      </c>
      <c r="H11" s="420" t="s">
        <v>215</v>
      </c>
      <c r="I11" s="420" t="s">
        <v>230</v>
      </c>
      <c r="K11" s="421">
        <f>LOOKUP(1E+100,M11:AB11)</f>
        <v>1620.0506756248978</v>
      </c>
      <c r="M11" s="421">
        <v>1520</v>
      </c>
      <c r="P11" s="420">
        <v>1620.0506756248978</v>
      </c>
    </row>
    <row r="12" spans="1:27" x14ac:dyDescent="0.3">
      <c r="A12" s="420">
        <v>2</v>
      </c>
      <c r="C12" s="420">
        <f>IF(E12=E11,C11+1,1)</f>
        <v>4</v>
      </c>
      <c r="D12" s="420">
        <f>IF(K12=K11,D11,C12)</f>
        <v>4</v>
      </c>
      <c r="E12" s="420">
        <f>10+VALUE(RIGHT(LEFT(G12,3),1))</f>
        <v>12</v>
      </c>
      <c r="F12" s="420" t="str">
        <f>RIGHT(G12,2) &amp; IF(A12&lt;2,"x","")</f>
        <v>pm</v>
      </c>
      <c r="G12" s="420" t="s">
        <v>217</v>
      </c>
      <c r="H12" s="420" t="s">
        <v>218</v>
      </c>
      <c r="I12" s="420" t="s">
        <v>219</v>
      </c>
      <c r="K12" s="421">
        <f>LOOKUP(1E+100,M12:AB12)</f>
        <v>1600</v>
      </c>
      <c r="M12" s="421">
        <v>1600</v>
      </c>
    </row>
    <row r="13" spans="1:27" x14ac:dyDescent="0.3">
      <c r="A13" s="420">
        <v>5</v>
      </c>
      <c r="C13" s="420">
        <f>IF(E13=E12,C12+1,1)</f>
        <v>5</v>
      </c>
      <c r="D13" s="420">
        <f>IF(K13=K12,D12,C13)</f>
        <v>5</v>
      </c>
      <c r="E13" s="420">
        <f>10+VALUE(RIGHT(LEFT(G13,3),1))</f>
        <v>12</v>
      </c>
      <c r="F13" s="420" t="str">
        <f>RIGHT(G13,2) &amp; IF(A13&lt;2,"x","")</f>
        <v>pm</v>
      </c>
      <c r="G13" s="420" t="s">
        <v>223</v>
      </c>
      <c r="H13" s="420" t="s">
        <v>224</v>
      </c>
      <c r="I13" s="420" t="s">
        <v>225</v>
      </c>
      <c r="K13" s="421">
        <f>LOOKUP(1E+100,M13:AB13)</f>
        <v>1579.4211609843667</v>
      </c>
      <c r="M13" s="421">
        <v>1600</v>
      </c>
      <c r="O13" s="420">
        <v>1579.4211609843667</v>
      </c>
    </row>
    <row r="14" spans="1:27" x14ac:dyDescent="0.3">
      <c r="A14" s="420">
        <v>3</v>
      </c>
      <c r="C14" s="420">
        <f>IF(E14=E13,C13+1,1)</f>
        <v>6</v>
      </c>
      <c r="D14" s="420">
        <f>IF(K14=K13,D13,C14)</f>
        <v>6</v>
      </c>
      <c r="E14" s="420">
        <f>10+VALUE(RIGHT(LEFT(G14,3),1))</f>
        <v>12</v>
      </c>
      <c r="F14" s="420" t="str">
        <f>RIGHT(G14,2) &amp; IF(A14&lt;2,"x","")</f>
        <v>pm</v>
      </c>
      <c r="G14" s="420" t="s">
        <v>245</v>
      </c>
      <c r="H14" s="420" t="s">
        <v>243</v>
      </c>
      <c r="I14" s="420" t="s">
        <v>246</v>
      </c>
      <c r="K14" s="421">
        <f>LOOKUP(1E+100,M14:AB14)</f>
        <v>1537.3802077651519</v>
      </c>
      <c r="M14" s="421">
        <v>1400</v>
      </c>
      <c r="N14" s="420">
        <v>1447.5815954545844</v>
      </c>
      <c r="P14" s="420">
        <v>1537.3802077651519</v>
      </c>
    </row>
    <row r="15" spans="1:27" x14ac:dyDescent="0.3">
      <c r="A15" s="420">
        <v>3</v>
      </c>
      <c r="C15" s="420">
        <f>IF(E15=E14,C14+1,1)</f>
        <v>7</v>
      </c>
      <c r="D15" s="420">
        <f>IF(K15=K14,D14,C15)</f>
        <v>7</v>
      </c>
      <c r="E15" s="420">
        <f>10+VALUE(RIGHT(LEFT(G15,3),1))</f>
        <v>12</v>
      </c>
      <c r="F15" s="420" t="str">
        <f>RIGHT(G15,2) &amp; IF(A15&lt;2,"x","")</f>
        <v>pm</v>
      </c>
      <c r="G15" s="420" t="s">
        <v>242</v>
      </c>
      <c r="H15" s="420" t="s">
        <v>243</v>
      </c>
      <c r="I15" s="420" t="s">
        <v>244</v>
      </c>
      <c r="K15" s="421">
        <f>LOOKUP(1E+100,M15:AB15)</f>
        <v>1531.3017091550601</v>
      </c>
      <c r="M15" s="421">
        <v>1400</v>
      </c>
      <c r="N15" s="420">
        <v>1476.3698763802292</v>
      </c>
      <c r="P15" s="420">
        <v>1531.3017091550601</v>
      </c>
    </row>
    <row r="16" spans="1:27" x14ac:dyDescent="0.3">
      <c r="A16" s="420">
        <v>5</v>
      </c>
      <c r="C16" s="420">
        <f>IF(E16=E15,C15+1,1)</f>
        <v>8</v>
      </c>
      <c r="D16" s="420">
        <f>IF(K16=K15,D15,C16)</f>
        <v>8</v>
      </c>
      <c r="E16" s="420">
        <f>10+VALUE(RIGHT(LEFT(G16,3),1))</f>
        <v>12</v>
      </c>
      <c r="F16" s="420" t="str">
        <f>RIGHT(G16,2) &amp; IF(A16&lt;2,"x","")</f>
        <v>pm</v>
      </c>
      <c r="G16" s="420" t="s">
        <v>231</v>
      </c>
      <c r="H16" s="420" t="s">
        <v>215</v>
      </c>
      <c r="I16" s="420" t="s">
        <v>232</v>
      </c>
      <c r="K16" s="421">
        <f>LOOKUP(1E+100,M16:AB16)</f>
        <v>1493.8800484266853</v>
      </c>
      <c r="M16" s="421">
        <v>1520</v>
      </c>
      <c r="P16" s="420">
        <v>1493.8800484266853</v>
      </c>
    </row>
    <row r="17" spans="1:16" x14ac:dyDescent="0.3">
      <c r="A17" s="420">
        <v>5</v>
      </c>
      <c r="C17" s="420">
        <f>IF(E17=E16,C16+1,1)</f>
        <v>9</v>
      </c>
      <c r="D17" s="420">
        <f>IF(K17=K16,D16,C17)</f>
        <v>9</v>
      </c>
      <c r="E17" s="420">
        <f>10+VALUE(RIGHT(LEFT(G17,3),1))</f>
        <v>12</v>
      </c>
      <c r="F17" s="420" t="str">
        <f>RIGHT(G17,2) &amp; IF(A17&lt;2,"x","")</f>
        <v>pm</v>
      </c>
      <c r="G17" s="420" t="s">
        <v>266</v>
      </c>
      <c r="H17" s="420" t="s">
        <v>267</v>
      </c>
      <c r="I17" s="420" t="s">
        <v>268</v>
      </c>
      <c r="K17" s="421">
        <f>LOOKUP(1E+100,M17:AB17)</f>
        <v>1483.6607809901664</v>
      </c>
      <c r="M17" s="421">
        <v>1400</v>
      </c>
      <c r="N17" s="420">
        <v>1392.0553046168466</v>
      </c>
      <c r="P17" s="420">
        <v>1483.6607809901664</v>
      </c>
    </row>
    <row r="18" spans="1:16" x14ac:dyDescent="0.3">
      <c r="A18" s="420">
        <v>5</v>
      </c>
      <c r="C18" s="420">
        <f>IF(E18=E17,C17+1,1)</f>
        <v>10</v>
      </c>
      <c r="D18" s="420">
        <f>IF(K18=K17,D17,C18)</f>
        <v>10</v>
      </c>
      <c r="E18" s="420">
        <f>10+VALUE(RIGHT(LEFT(G18,3),1))</f>
        <v>12</v>
      </c>
      <c r="F18" s="420" t="str">
        <f>RIGHT(G18,2) &amp; IF(A18&lt;2,"x","")</f>
        <v>pm</v>
      </c>
      <c r="G18" s="420" t="s">
        <v>255</v>
      </c>
      <c r="H18" s="420" t="s">
        <v>256</v>
      </c>
      <c r="I18" s="420" t="s">
        <v>257</v>
      </c>
      <c r="K18" s="421">
        <f>LOOKUP(1E+100,M18:AB18)</f>
        <v>1472.1508938896179</v>
      </c>
      <c r="M18" s="421">
        <v>1400</v>
      </c>
      <c r="N18" s="420">
        <v>1462.0140696522083</v>
      </c>
      <c r="P18" s="420">
        <v>1472.1508938896179</v>
      </c>
    </row>
    <row r="19" spans="1:16" x14ac:dyDescent="0.3">
      <c r="A19" s="420">
        <v>3</v>
      </c>
      <c r="C19" s="420">
        <f>IF(E19=E18,C18+1,1)</f>
        <v>11</v>
      </c>
      <c r="D19" s="420">
        <f>IF(K19=K18,D18,C19)</f>
        <v>11</v>
      </c>
      <c r="E19" s="420">
        <f>10+VALUE(RIGHT(LEFT(G19,3),1))</f>
        <v>12</v>
      </c>
      <c r="F19" s="420" t="str">
        <f>RIGHT(G19,2) &amp; IF(A19&lt;2,"x","")</f>
        <v>pm</v>
      </c>
      <c r="G19" s="420" t="s">
        <v>282</v>
      </c>
      <c r="H19" s="420" t="s">
        <v>283</v>
      </c>
      <c r="I19" s="420" t="s">
        <v>284</v>
      </c>
      <c r="K19" s="421">
        <f>LOOKUP(1E+100,M19:AB19)</f>
        <v>1445.866311589471</v>
      </c>
      <c r="M19" s="421">
        <v>1400</v>
      </c>
      <c r="P19" s="420">
        <v>1445.866311589471</v>
      </c>
    </row>
    <row r="20" spans="1:16" x14ac:dyDescent="0.3">
      <c r="A20" s="420">
        <v>4</v>
      </c>
      <c r="C20" s="420">
        <f>IF(E20=E19,C19+1,1)</f>
        <v>12</v>
      </c>
      <c r="D20" s="420">
        <f>IF(K20=K19,D19,C20)</f>
        <v>12</v>
      </c>
      <c r="E20" s="420">
        <f>10+VALUE(RIGHT(LEFT(G20,3),1))</f>
        <v>12</v>
      </c>
      <c r="F20" s="420" t="str">
        <f>RIGHT(G20,2) &amp; IF(A20&lt;2,"x","")</f>
        <v>pm</v>
      </c>
      <c r="G20" s="420" t="s">
        <v>252</v>
      </c>
      <c r="H20" s="420" t="s">
        <v>253</v>
      </c>
      <c r="I20" s="420" t="s">
        <v>254</v>
      </c>
      <c r="K20" s="421">
        <f>LOOKUP(1E+100,M20:AB20)</f>
        <v>1428.1010048509108</v>
      </c>
      <c r="M20" s="421">
        <v>1400</v>
      </c>
      <c r="P20" s="420">
        <v>1428.1010048509108</v>
      </c>
    </row>
    <row r="21" spans="1:16" x14ac:dyDescent="0.3">
      <c r="A21" s="420">
        <v>3</v>
      </c>
      <c r="C21" s="420">
        <f>IF(E21=E20,C20+1,1)</f>
        <v>13</v>
      </c>
      <c r="D21" s="420">
        <f>IF(K21=K20,D20,C21)</f>
        <v>13</v>
      </c>
      <c r="E21" s="420">
        <f>10+VALUE(RIGHT(LEFT(G21,3),1))</f>
        <v>12</v>
      </c>
      <c r="F21" s="420" t="str">
        <f>RIGHT(G21,2) &amp; IF(A21&lt;2,"x","")</f>
        <v>pm</v>
      </c>
      <c r="G21" s="420" t="s">
        <v>290</v>
      </c>
      <c r="H21" s="420" t="s">
        <v>288</v>
      </c>
      <c r="I21" s="420" t="s">
        <v>291</v>
      </c>
      <c r="K21" s="421">
        <f>LOOKUP(1E+100,M21:AB21)</f>
        <v>1424.3253801381572</v>
      </c>
      <c r="M21" s="421">
        <v>1400</v>
      </c>
      <c r="P21" s="420">
        <v>1424.3253801381572</v>
      </c>
    </row>
    <row r="22" spans="1:16" x14ac:dyDescent="0.3">
      <c r="A22" s="420">
        <v>2</v>
      </c>
      <c r="C22" s="420">
        <f>IF(E22=E21,C21+1,1)</f>
        <v>14</v>
      </c>
      <c r="D22" s="420">
        <f>IF(K22=K21,D21,C22)</f>
        <v>14</v>
      </c>
      <c r="E22" s="420">
        <f>10+VALUE(RIGHT(LEFT(G22,3),1))</f>
        <v>12</v>
      </c>
      <c r="F22" s="420" t="str">
        <f>RIGHT(G22,2) &amp; IF(A22&lt;2,"x","")</f>
        <v>pm</v>
      </c>
      <c r="G22" s="420" t="s">
        <v>239</v>
      </c>
      <c r="H22" s="420" t="s">
        <v>240</v>
      </c>
      <c r="I22" s="420" t="s">
        <v>241</v>
      </c>
      <c r="K22" s="421">
        <f>LOOKUP(1E+100,M22:AB22)</f>
        <v>1400</v>
      </c>
      <c r="M22" s="421">
        <v>1400</v>
      </c>
    </row>
    <row r="23" spans="1:16" x14ac:dyDescent="0.3">
      <c r="A23" s="420">
        <v>4</v>
      </c>
      <c r="C23" s="420">
        <f>IF(E23=E22,C22+1,1)</f>
        <v>15</v>
      </c>
      <c r="D23" s="420">
        <f>IF(K23=K22,D22,C23)</f>
        <v>14</v>
      </c>
      <c r="E23" s="420">
        <f>10+VALUE(RIGHT(LEFT(G23,3),1))</f>
        <v>12</v>
      </c>
      <c r="F23" s="420" t="str">
        <f>RIGHT(G23,2) &amp; IF(A23&lt;2,"x","")</f>
        <v>pm</v>
      </c>
      <c r="G23" s="420" t="s">
        <v>272</v>
      </c>
      <c r="H23" s="420" t="s">
        <v>273</v>
      </c>
      <c r="I23" s="420" t="s">
        <v>274</v>
      </c>
      <c r="K23" s="421">
        <f>LOOKUP(1E+100,M23:AB23)</f>
        <v>1400</v>
      </c>
      <c r="M23" s="421">
        <v>1400</v>
      </c>
    </row>
    <row r="24" spans="1:16" x14ac:dyDescent="0.3">
      <c r="A24" s="420">
        <v>4</v>
      </c>
      <c r="C24" s="420">
        <f>IF(E24=E23,C23+1,1)</f>
        <v>16</v>
      </c>
      <c r="D24" s="420">
        <f>IF(K24=K23,D23,C24)</f>
        <v>14</v>
      </c>
      <c r="E24" s="420">
        <f>10+VALUE(RIGHT(LEFT(G24,3),1))</f>
        <v>12</v>
      </c>
      <c r="F24" s="420" t="str">
        <f>RIGHT(G24,2) &amp; IF(A24&lt;2,"x","")</f>
        <v>pm</v>
      </c>
      <c r="G24" s="420" t="s">
        <v>275</v>
      </c>
      <c r="H24" s="420" t="s">
        <v>273</v>
      </c>
      <c r="I24" s="420" t="s">
        <v>276</v>
      </c>
      <c r="K24" s="421">
        <f>LOOKUP(1E+100,M24:AB24)</f>
        <v>1400</v>
      </c>
      <c r="M24" s="421">
        <v>1400</v>
      </c>
    </row>
    <row r="25" spans="1:16" x14ac:dyDescent="0.3">
      <c r="A25" s="420">
        <v>2</v>
      </c>
      <c r="C25" s="420">
        <f>IF(E25=E24,C24+1,1)</f>
        <v>17</v>
      </c>
      <c r="D25" s="420">
        <f>IF(K25=K24,D24,C25)</f>
        <v>14</v>
      </c>
      <c r="E25" s="420">
        <f>10+VALUE(RIGHT(LEFT(G25,3),1))</f>
        <v>12</v>
      </c>
      <c r="F25" s="420" t="str">
        <f>RIGHT(G25,2) &amp; IF(A25&lt;2,"x","")</f>
        <v>pm</v>
      </c>
      <c r="G25" s="420" t="s">
        <v>294</v>
      </c>
      <c r="H25" s="420" t="s">
        <v>227</v>
      </c>
      <c r="I25" s="420" t="s">
        <v>295</v>
      </c>
      <c r="K25" s="421">
        <f>LOOKUP(1E+100,M25:AB25)</f>
        <v>1400</v>
      </c>
      <c r="M25" s="421">
        <v>1400</v>
      </c>
    </row>
    <row r="26" spans="1:16" x14ac:dyDescent="0.3">
      <c r="A26" s="420">
        <v>6</v>
      </c>
      <c r="C26" s="420">
        <f>IF(E26=E25,C25+1,1)</f>
        <v>18</v>
      </c>
      <c r="D26" s="420">
        <f>IF(K26=K25,D25,C26)</f>
        <v>18</v>
      </c>
      <c r="E26" s="420">
        <f>10+VALUE(RIGHT(LEFT(G26,3),1))</f>
        <v>12</v>
      </c>
      <c r="F26" s="420" t="str">
        <f>RIGHT(G26,2) &amp; IF(A26&lt;2,"x","")</f>
        <v>pm</v>
      </c>
      <c r="G26" s="420" t="s">
        <v>260</v>
      </c>
      <c r="H26" s="420" t="s">
        <v>261</v>
      </c>
      <c r="I26" s="420" t="s">
        <v>262</v>
      </c>
      <c r="K26" s="421">
        <f>LOOKUP(1E+100,M26:AB26)</f>
        <v>1397.3483492662522</v>
      </c>
      <c r="M26" s="421">
        <v>1400</v>
      </c>
      <c r="P26" s="420">
        <v>1397.3483492662522</v>
      </c>
    </row>
    <row r="27" spans="1:16" x14ac:dyDescent="0.3">
      <c r="A27" s="420">
        <v>3</v>
      </c>
      <c r="C27" s="420">
        <f>IF(E27=E26,C26+1,1)</f>
        <v>19</v>
      </c>
      <c r="D27" s="420">
        <f>IF(K27=K26,D26,C27)</f>
        <v>19</v>
      </c>
      <c r="E27" s="420">
        <f>10+VALUE(RIGHT(LEFT(G27,3),1))</f>
        <v>12</v>
      </c>
      <c r="F27" s="420" t="str">
        <f>RIGHT(G27,2) &amp; IF(A27&lt;2,"x","")</f>
        <v>pm</v>
      </c>
      <c r="G27" s="420" t="s">
        <v>233</v>
      </c>
      <c r="H27" s="420" t="s">
        <v>215</v>
      </c>
      <c r="I27" s="420" t="s">
        <v>234</v>
      </c>
      <c r="K27" s="421">
        <f>LOOKUP(1E+100,M27:AB27)</f>
        <v>1389.1906269778058</v>
      </c>
      <c r="M27" s="421">
        <v>1466.6666666666667</v>
      </c>
      <c r="P27" s="420">
        <v>1389.1906269778058</v>
      </c>
    </row>
    <row r="28" spans="1:16" x14ac:dyDescent="0.3">
      <c r="A28" s="420">
        <v>6</v>
      </c>
      <c r="C28" s="420">
        <f>IF(E28=E27,C27+1,1)</f>
        <v>20</v>
      </c>
      <c r="D28" s="420">
        <f>IF(K28=K27,D27,C28)</f>
        <v>20</v>
      </c>
      <c r="E28" s="420">
        <f>10+VALUE(RIGHT(LEFT(G28,3),1))</f>
        <v>12</v>
      </c>
      <c r="F28" s="420" t="str">
        <f>RIGHT(G28,2) &amp; IF(A28&lt;2,"x","")</f>
        <v>pm</v>
      </c>
      <c r="G28" s="420" t="s">
        <v>263</v>
      </c>
      <c r="H28" s="420" t="s">
        <v>264</v>
      </c>
      <c r="I28" s="420" t="s">
        <v>265</v>
      </c>
      <c r="K28" s="421">
        <f>LOOKUP(1E+100,M28:AB28)</f>
        <v>1387.8230506446589</v>
      </c>
      <c r="M28" s="421">
        <v>1400</v>
      </c>
      <c r="P28" s="420">
        <v>1387.8230506446589</v>
      </c>
    </row>
    <row r="29" spans="1:16" x14ac:dyDescent="0.3">
      <c r="A29" s="420">
        <v>4</v>
      </c>
      <c r="C29" s="420">
        <f>IF(E29=E28,C28+1,1)</f>
        <v>21</v>
      </c>
      <c r="D29" s="420">
        <f>IF(K29=K28,D28,C29)</f>
        <v>21</v>
      </c>
      <c r="E29" s="420">
        <f>10+VALUE(RIGHT(LEFT(G29,3),1))</f>
        <v>12</v>
      </c>
      <c r="F29" s="420" t="str">
        <f>RIGHT(G29,2) &amp; IF(A29&lt;2,"x","")</f>
        <v>pm</v>
      </c>
      <c r="G29" s="420" t="s">
        <v>258</v>
      </c>
      <c r="H29" s="420" t="s">
        <v>256</v>
      </c>
      <c r="I29" s="420" t="s">
        <v>259</v>
      </c>
      <c r="K29" s="421">
        <f>LOOKUP(1E+100,M29:AB29)</f>
        <v>1387.5441557026004</v>
      </c>
      <c r="M29" s="421">
        <v>1400</v>
      </c>
      <c r="P29" s="420">
        <v>1387.5441557026004</v>
      </c>
    </row>
    <row r="30" spans="1:16" x14ac:dyDescent="0.3">
      <c r="A30" s="420">
        <v>7</v>
      </c>
      <c r="C30" s="420">
        <f>IF(E30=E29,C29+1,1)</f>
        <v>22</v>
      </c>
      <c r="D30" s="420">
        <f>IF(K30=K29,D29,C30)</f>
        <v>22</v>
      </c>
      <c r="E30" s="420">
        <f>10+VALUE(RIGHT(LEFT(G30,3),1))</f>
        <v>12</v>
      </c>
      <c r="F30" s="420" t="str">
        <f>RIGHT(G30,2) &amp; IF(A30&lt;2,"x","")</f>
        <v>pm</v>
      </c>
      <c r="G30" s="420" t="s">
        <v>277</v>
      </c>
      <c r="H30" s="420" t="s">
        <v>278</v>
      </c>
      <c r="I30" s="420" t="s">
        <v>279</v>
      </c>
      <c r="K30" s="421">
        <f>LOOKUP(1E+100,M30:AB30)</f>
        <v>1385.9530682556606</v>
      </c>
      <c r="M30" s="421">
        <v>1400</v>
      </c>
      <c r="N30" s="420">
        <v>1334.5199657762885</v>
      </c>
      <c r="P30" s="420">
        <v>1385.9530682556606</v>
      </c>
    </row>
    <row r="31" spans="1:16" x14ac:dyDescent="0.3">
      <c r="A31" s="420">
        <v>6</v>
      </c>
      <c r="C31" s="420">
        <f>IF(E31=E30,C30+1,1)</f>
        <v>23</v>
      </c>
      <c r="D31" s="420">
        <f>IF(K31=K30,D30,C31)</f>
        <v>23</v>
      </c>
      <c r="E31" s="420">
        <f>10+VALUE(RIGHT(LEFT(G31,3),1))</f>
        <v>12</v>
      </c>
      <c r="F31" s="420" t="str">
        <f>RIGHT(G31,2) &amp; IF(A31&lt;2,"x","")</f>
        <v>pm</v>
      </c>
      <c r="G31" s="420" t="s">
        <v>158</v>
      </c>
      <c r="H31" s="420" t="s">
        <v>224</v>
      </c>
      <c r="I31" s="420" t="s">
        <v>235</v>
      </c>
      <c r="K31" s="421">
        <f>LOOKUP(1E+100,M31:AB31)</f>
        <v>1372.0324321944904</v>
      </c>
      <c r="M31" s="421">
        <v>1433.3333333333333</v>
      </c>
      <c r="P31" s="420">
        <v>1372.0324321944904</v>
      </c>
    </row>
    <row r="32" spans="1:16" x14ac:dyDescent="0.3">
      <c r="A32" s="420">
        <v>6</v>
      </c>
      <c r="C32" s="420">
        <f>IF(E32=E31,C31+1,1)</f>
        <v>24</v>
      </c>
      <c r="D32" s="420">
        <f>IF(K32=K31,D31,C32)</f>
        <v>24</v>
      </c>
      <c r="E32" s="420">
        <f>10+VALUE(RIGHT(LEFT(G32,3),1))</f>
        <v>12</v>
      </c>
      <c r="F32" s="420" t="str">
        <f>RIGHT(G32,2) &amp; IF(A32&lt;2,"x","")</f>
        <v>pm</v>
      </c>
      <c r="G32" s="420" t="s">
        <v>287</v>
      </c>
      <c r="H32" s="420" t="s">
        <v>288</v>
      </c>
      <c r="I32" s="420" t="s">
        <v>289</v>
      </c>
      <c r="K32" s="421">
        <f>LOOKUP(1E+100,M32:AB32)</f>
        <v>1368.8186614357858</v>
      </c>
      <c r="M32" s="421">
        <v>1400</v>
      </c>
      <c r="P32" s="420">
        <v>1368.8186614357858</v>
      </c>
    </row>
    <row r="33" spans="1:16" x14ac:dyDescent="0.3">
      <c r="A33" s="420">
        <v>3</v>
      </c>
      <c r="C33" s="420">
        <f>IF(E33=E32,C32+1,1)</f>
        <v>25</v>
      </c>
      <c r="D33" s="420">
        <f>IF(K33=K32,D32,C33)</f>
        <v>25</v>
      </c>
      <c r="E33" s="420">
        <f>10+VALUE(RIGHT(LEFT(G33,3),1))</f>
        <v>12</v>
      </c>
      <c r="F33" s="420" t="str">
        <f>RIGHT(G33,2) &amp; IF(A33&lt;2,"x","")</f>
        <v>pm</v>
      </c>
      <c r="G33" s="420" t="s">
        <v>247</v>
      </c>
      <c r="H33" s="420" t="s">
        <v>243</v>
      </c>
      <c r="I33" s="420" t="s">
        <v>248</v>
      </c>
      <c r="K33" s="421">
        <f>LOOKUP(1E+100,M33:AB33)</f>
        <v>1357.2341324310933</v>
      </c>
      <c r="M33" s="421">
        <v>1400</v>
      </c>
      <c r="P33" s="420">
        <v>1357.2341324310933</v>
      </c>
    </row>
    <row r="34" spans="1:16" x14ac:dyDescent="0.3">
      <c r="A34" s="420">
        <v>2</v>
      </c>
      <c r="C34" s="420">
        <f>IF(E34=E33,C33+1,1)</f>
        <v>26</v>
      </c>
      <c r="D34" s="420">
        <f>IF(K34=K33,D33,C34)</f>
        <v>26</v>
      </c>
      <c r="E34" s="420">
        <f>10+VALUE(RIGHT(LEFT(G34,3),1))</f>
        <v>12</v>
      </c>
      <c r="F34" s="420" t="str">
        <f>RIGHT(G34,2) &amp; IF(A34&lt;2,"x","")</f>
        <v>pm</v>
      </c>
      <c r="G34" s="420" t="s">
        <v>249</v>
      </c>
      <c r="H34" s="420" t="s">
        <v>250</v>
      </c>
      <c r="I34" s="420" t="s">
        <v>251</v>
      </c>
      <c r="K34" s="421">
        <f>LOOKUP(1E+100,M34:AB34)</f>
        <v>1350.0578538073637</v>
      </c>
      <c r="M34" s="421">
        <v>1400</v>
      </c>
      <c r="N34" s="420">
        <v>1350.0578538073637</v>
      </c>
    </row>
    <row r="35" spans="1:16" x14ac:dyDescent="0.3">
      <c r="A35" s="420">
        <v>4</v>
      </c>
      <c r="C35" s="420">
        <f>IF(E35=E34,C34+1,1)</f>
        <v>27</v>
      </c>
      <c r="D35" s="420">
        <f>IF(K35=K34,D34,C35)</f>
        <v>27</v>
      </c>
      <c r="E35" s="420">
        <f>10+VALUE(RIGHT(LEFT(G35,3),1))</f>
        <v>12</v>
      </c>
      <c r="F35" s="420" t="str">
        <f>RIGHT(G35,2) &amp; IF(A35&lt;2,"x","")</f>
        <v>pm</v>
      </c>
      <c r="G35" s="420" t="s">
        <v>292</v>
      </c>
      <c r="H35" s="420" t="s">
        <v>218</v>
      </c>
      <c r="I35" s="420" t="s">
        <v>293</v>
      </c>
      <c r="K35" s="421">
        <f>LOOKUP(1E+100,M35:AB35)</f>
        <v>1312.5310212754796</v>
      </c>
      <c r="M35" s="421">
        <v>1400</v>
      </c>
      <c r="P35" s="420">
        <v>1312.5310212754796</v>
      </c>
    </row>
    <row r="36" spans="1:16" x14ac:dyDescent="0.3">
      <c r="A36" s="420">
        <v>4</v>
      </c>
      <c r="C36" s="420">
        <f>IF(E36=E35,C35+1,1)</f>
        <v>28</v>
      </c>
      <c r="D36" s="420">
        <f>IF(K36=K35,D35,C36)</f>
        <v>28</v>
      </c>
      <c r="E36" s="420">
        <f>10+VALUE(RIGHT(LEFT(G36,3),1))</f>
        <v>12</v>
      </c>
      <c r="F36" s="420" t="str">
        <f>RIGHT(G36,2) &amp; IF(A36&lt;2,"x","")</f>
        <v>pm</v>
      </c>
      <c r="G36" s="420" t="s">
        <v>146</v>
      </c>
      <c r="H36" s="420" t="s">
        <v>288</v>
      </c>
      <c r="I36" s="420" t="s">
        <v>161</v>
      </c>
      <c r="K36" s="421">
        <f>LOOKUP(1E+100,M36:AB36)</f>
        <v>1298.5668972647138</v>
      </c>
      <c r="M36" s="421">
        <v>1200</v>
      </c>
      <c r="P36" s="420">
        <v>1298.5668972647138</v>
      </c>
    </row>
    <row r="37" spans="1:16" x14ac:dyDescent="0.3">
      <c r="A37" s="420">
        <v>2</v>
      </c>
      <c r="C37" s="420">
        <f>IF(E37=E36,C36+1,1)</f>
        <v>29</v>
      </c>
      <c r="D37" s="420">
        <f>IF(K37=K36,D36,C37)</f>
        <v>28</v>
      </c>
      <c r="E37" s="420">
        <f>10+VALUE(RIGHT(LEFT(G37,3),1))</f>
        <v>12</v>
      </c>
      <c r="F37" s="420" t="str">
        <f>RIGHT(G37,2) &amp; IF(A37&lt;2,"x","")</f>
        <v>pm</v>
      </c>
      <c r="G37" s="426" t="s">
        <v>146</v>
      </c>
      <c r="H37" s="429" t="s">
        <v>1070</v>
      </c>
      <c r="I37" s="426" t="s">
        <v>145</v>
      </c>
      <c r="K37" s="421">
        <f>LOOKUP(1E+100,M37:AB37)</f>
        <v>1298.5668972647138</v>
      </c>
      <c r="M37" s="421">
        <v>1200</v>
      </c>
      <c r="P37" s="420">
        <v>1298.5668972647138</v>
      </c>
    </row>
    <row r="38" spans="1:16" x14ac:dyDescent="0.3">
      <c r="A38" s="420">
        <v>3</v>
      </c>
      <c r="C38" s="420">
        <f>IF(E38=E37,C37+1,1)</f>
        <v>30</v>
      </c>
      <c r="D38" s="420">
        <f>IF(K38=K37,D37,C38)</f>
        <v>30</v>
      </c>
      <c r="E38" s="420">
        <f>10+VALUE(RIGHT(LEFT(G38,3),1))</f>
        <v>12</v>
      </c>
      <c r="F38" s="420" t="str">
        <f>RIGHT(G38,2) &amp; IF(A38&lt;2,"x","")</f>
        <v>pm</v>
      </c>
      <c r="G38" s="420" t="s">
        <v>285</v>
      </c>
      <c r="H38" s="420" t="s">
        <v>283</v>
      </c>
      <c r="I38" s="420" t="s">
        <v>286</v>
      </c>
      <c r="K38" s="421">
        <f>LOOKUP(1E+100,M38:AB38)</f>
        <v>1296.9548720074079</v>
      </c>
      <c r="M38" s="421">
        <v>1400</v>
      </c>
      <c r="P38" s="420">
        <v>1296.9548720074079</v>
      </c>
    </row>
    <row r="39" spans="1:16" x14ac:dyDescent="0.3">
      <c r="A39" s="420">
        <v>2</v>
      </c>
      <c r="C39" s="420">
        <f>IF(E39=E38,C38+1,1)</f>
        <v>31</v>
      </c>
      <c r="D39" s="420">
        <f>IF(K39=K38,D38,C39)</f>
        <v>31</v>
      </c>
      <c r="E39" s="420">
        <f>10+VALUE(RIGHT(LEFT(G39,3),1))</f>
        <v>12</v>
      </c>
      <c r="F39" s="420" t="str">
        <f>RIGHT(G39,2) &amp; IF(A39&lt;2,"x","")</f>
        <v>pm</v>
      </c>
      <c r="G39" s="426" t="s">
        <v>142</v>
      </c>
      <c r="H39" s="429" t="s">
        <v>1075</v>
      </c>
      <c r="I39" s="426" t="s">
        <v>141</v>
      </c>
      <c r="K39" s="421">
        <f>LOOKUP(1E+100,M39:AB39)</f>
        <v>1233.2107957429735</v>
      </c>
      <c r="M39" s="421">
        <v>1200</v>
      </c>
      <c r="P39" s="420">
        <v>1233.2107957429735</v>
      </c>
    </row>
    <row r="40" spans="1:16" x14ac:dyDescent="0.3">
      <c r="A40" s="420">
        <v>2</v>
      </c>
      <c r="C40" s="420">
        <f>IF(E40=E39,C39+1,1)</f>
        <v>32</v>
      </c>
      <c r="D40" s="420">
        <f>IF(K40=K39,D39,C40)</f>
        <v>32</v>
      </c>
      <c r="E40" s="420">
        <f>10+VALUE(RIGHT(LEFT(G40,3),1))</f>
        <v>12</v>
      </c>
      <c r="F40" s="420" t="str">
        <f>RIGHT(G40,2) &amp; IF(A40&lt;2,"x","")</f>
        <v>pm</v>
      </c>
      <c r="G40" s="420" t="s">
        <v>307</v>
      </c>
      <c r="H40" s="420" t="s">
        <v>243</v>
      </c>
      <c r="I40" s="420" t="s">
        <v>308</v>
      </c>
      <c r="K40" s="421">
        <f>LOOKUP(1E+100,M40:AB40)</f>
        <v>1200</v>
      </c>
      <c r="M40" s="421">
        <v>1200</v>
      </c>
    </row>
    <row r="41" spans="1:16" x14ac:dyDescent="0.3">
      <c r="A41" s="420">
        <v>2</v>
      </c>
      <c r="C41" s="420">
        <f>IF(E41=E40,C40+1,1)</f>
        <v>33</v>
      </c>
      <c r="D41" s="420">
        <f>IF(K41=K40,D40,C41)</f>
        <v>32</v>
      </c>
      <c r="E41" s="420">
        <f>10+VALUE(RIGHT(LEFT(G41,3),1))</f>
        <v>12</v>
      </c>
      <c r="F41" s="420" t="str">
        <f>RIGHT(G41,2) &amp; IF(A41&lt;2,"x","")</f>
        <v>pm</v>
      </c>
      <c r="G41" s="420" t="s">
        <v>309</v>
      </c>
      <c r="H41" s="420" t="s">
        <v>243</v>
      </c>
      <c r="I41" s="420" t="s">
        <v>310</v>
      </c>
      <c r="K41" s="421">
        <f>LOOKUP(1E+100,M41:AB41)</f>
        <v>1200</v>
      </c>
      <c r="M41" s="421">
        <v>1200</v>
      </c>
    </row>
    <row r="42" spans="1:16" x14ac:dyDescent="0.3">
      <c r="A42" s="420">
        <v>2</v>
      </c>
      <c r="C42" s="420">
        <f>IF(E42=E41,C41+1,1)</f>
        <v>34</v>
      </c>
      <c r="D42" s="420">
        <f>IF(K42=K41,D41,C42)</f>
        <v>32</v>
      </c>
      <c r="E42" s="420">
        <f>10+VALUE(RIGHT(LEFT(G42,3),1))</f>
        <v>12</v>
      </c>
      <c r="F42" s="420" t="str">
        <f>RIGHT(G42,2) &amp; IF(A42&lt;2,"x","")</f>
        <v>pm</v>
      </c>
      <c r="G42" s="420" t="s">
        <v>311</v>
      </c>
      <c r="H42" s="420" t="s">
        <v>243</v>
      </c>
      <c r="I42" s="420" t="s">
        <v>312</v>
      </c>
      <c r="K42" s="421">
        <f>LOOKUP(1E+100,M42:AB42)</f>
        <v>1200</v>
      </c>
      <c r="M42" s="421">
        <v>1200</v>
      </c>
    </row>
    <row r="43" spans="1:16" x14ac:dyDescent="0.3">
      <c r="A43" s="420">
        <v>3</v>
      </c>
      <c r="C43" s="420">
        <f>IF(E43=E42,C42+1,1)</f>
        <v>35</v>
      </c>
      <c r="D43" s="420">
        <f>IF(K43=K42,D42,C43)</f>
        <v>32</v>
      </c>
      <c r="E43" s="420">
        <f>10+VALUE(RIGHT(LEFT(G43,3),1))</f>
        <v>12</v>
      </c>
      <c r="F43" s="420" t="str">
        <f>RIGHT(G43,2) &amp; IF(A43&lt;2,"x","")</f>
        <v>pm</v>
      </c>
      <c r="G43" s="420" t="s">
        <v>313</v>
      </c>
      <c r="H43" s="420" t="s">
        <v>256</v>
      </c>
      <c r="I43" s="420" t="s">
        <v>314</v>
      </c>
      <c r="K43" s="421">
        <f>LOOKUP(1E+100,M43:AB43)</f>
        <v>1200</v>
      </c>
      <c r="M43" s="421">
        <v>1200</v>
      </c>
    </row>
    <row r="44" spans="1:16" x14ac:dyDescent="0.3">
      <c r="A44" s="420">
        <v>4</v>
      </c>
      <c r="C44" s="420">
        <f>IF(E44=E43,C43+1,1)</f>
        <v>36</v>
      </c>
      <c r="D44" s="420">
        <f>IF(K44=K43,D43,C44)</f>
        <v>32</v>
      </c>
      <c r="E44" s="420">
        <f>10+VALUE(RIGHT(LEFT(G44,3),1))</f>
        <v>12</v>
      </c>
      <c r="F44" s="420" t="str">
        <f>RIGHT(G44,2) &amp; IF(A44&lt;2,"x","")</f>
        <v>pm</v>
      </c>
      <c r="G44" s="420" t="s">
        <v>315</v>
      </c>
      <c r="H44" s="420" t="s">
        <v>264</v>
      </c>
      <c r="I44" s="420" t="s">
        <v>316</v>
      </c>
      <c r="K44" s="421">
        <f>LOOKUP(1E+100,M44:AB44)</f>
        <v>1200</v>
      </c>
      <c r="M44" s="421">
        <v>1200</v>
      </c>
    </row>
    <row r="45" spans="1:16" x14ac:dyDescent="0.3">
      <c r="A45" s="420">
        <v>4</v>
      </c>
      <c r="C45" s="420">
        <f>IF(E45=E44,C44+1,1)</f>
        <v>37</v>
      </c>
      <c r="D45" s="420">
        <f>IF(K45=K44,D44,C45)</f>
        <v>32</v>
      </c>
      <c r="E45" s="420">
        <f>10+VALUE(RIGHT(LEFT(G45,3),1))</f>
        <v>12</v>
      </c>
      <c r="F45" s="420" t="str">
        <f>RIGHT(G45,2) &amp; IF(A45&lt;2,"x","")</f>
        <v>pm</v>
      </c>
      <c r="G45" s="420" t="s">
        <v>317</v>
      </c>
      <c r="H45" s="420" t="s">
        <v>318</v>
      </c>
      <c r="I45" s="420" t="s">
        <v>319</v>
      </c>
      <c r="K45" s="421">
        <f>LOOKUP(1E+100,M45:AB45)</f>
        <v>1200</v>
      </c>
      <c r="M45" s="421">
        <v>1200</v>
      </c>
    </row>
    <row r="46" spans="1:16" x14ac:dyDescent="0.3">
      <c r="A46" s="420">
        <v>2</v>
      </c>
      <c r="C46" s="420">
        <f>IF(E46=E45,C45+1,1)</f>
        <v>38</v>
      </c>
      <c r="D46" s="420">
        <f>IF(K46=K45,D45,C46)</f>
        <v>32</v>
      </c>
      <c r="E46" s="420">
        <f>10+VALUE(RIGHT(LEFT(G46,3),1))</f>
        <v>12</v>
      </c>
      <c r="F46" s="420" t="str">
        <f>RIGHT(G46,2) &amp; IF(A46&lt;2,"x","")</f>
        <v>pm</v>
      </c>
      <c r="G46" s="420" t="s">
        <v>321</v>
      </c>
      <c r="H46" s="420" t="s">
        <v>267</v>
      </c>
      <c r="I46" s="420" t="s">
        <v>322</v>
      </c>
      <c r="K46" s="421">
        <f>LOOKUP(1E+100,M46:AB46)</f>
        <v>1200</v>
      </c>
      <c r="M46" s="421">
        <v>1200</v>
      </c>
    </row>
    <row r="47" spans="1:16" x14ac:dyDescent="0.3">
      <c r="A47" s="420">
        <v>2</v>
      </c>
      <c r="C47" s="420">
        <f>IF(E47=E46,C46+1,1)</f>
        <v>39</v>
      </c>
      <c r="D47" s="420">
        <f>IF(K47=K46,D46,C47)</f>
        <v>32</v>
      </c>
      <c r="E47" s="420">
        <f>10+VALUE(RIGHT(LEFT(G47,3),1))</f>
        <v>12</v>
      </c>
      <c r="F47" s="420" t="str">
        <f>RIGHT(G47,2) &amp; IF(A47&lt;2,"x","")</f>
        <v>pm</v>
      </c>
      <c r="G47" s="420" t="s">
        <v>323</v>
      </c>
      <c r="H47" s="420" t="s">
        <v>273</v>
      </c>
      <c r="I47" s="420" t="s">
        <v>155</v>
      </c>
      <c r="K47" s="421">
        <f>LOOKUP(1E+100,M47:AB47)</f>
        <v>1200</v>
      </c>
      <c r="M47" s="421">
        <v>1200</v>
      </c>
    </row>
    <row r="48" spans="1:16" x14ac:dyDescent="0.3">
      <c r="A48" s="420">
        <v>2</v>
      </c>
      <c r="C48" s="420">
        <f>IF(E48=E47,C47+1,1)</f>
        <v>40</v>
      </c>
      <c r="D48" s="420">
        <f>IF(K48=K47,D47,C48)</f>
        <v>32</v>
      </c>
      <c r="E48" s="420">
        <f>10+VALUE(RIGHT(LEFT(G48,3),1))</f>
        <v>12</v>
      </c>
      <c r="F48" s="420" t="str">
        <f>RIGHT(G48,2) &amp; IF(A48&lt;2,"x","")</f>
        <v>pm</v>
      </c>
      <c r="G48" s="420" t="s">
        <v>325</v>
      </c>
      <c r="H48" s="420" t="s">
        <v>273</v>
      </c>
      <c r="I48" s="420" t="s">
        <v>326</v>
      </c>
      <c r="K48" s="421">
        <f>LOOKUP(1E+100,M48:AB48)</f>
        <v>1200</v>
      </c>
      <c r="M48" s="421">
        <v>1200</v>
      </c>
    </row>
    <row r="49" spans="1:16" x14ac:dyDescent="0.3">
      <c r="A49" s="420">
        <v>3</v>
      </c>
      <c r="C49" s="420">
        <f>IF(E49=E48,C48+1,1)</f>
        <v>41</v>
      </c>
      <c r="D49" s="420">
        <f>IF(K49=K48,D48,C49)</f>
        <v>32</v>
      </c>
      <c r="E49" s="420">
        <f>10+VALUE(RIGHT(LEFT(G49,3),1))</f>
        <v>12</v>
      </c>
      <c r="F49" s="420" t="str">
        <f>RIGHT(G49,2) &amp; IF(A49&lt;2,"x","")</f>
        <v>pm</v>
      </c>
      <c r="G49" s="420" t="s">
        <v>330</v>
      </c>
      <c r="H49" s="420" t="s">
        <v>331</v>
      </c>
      <c r="I49" s="420" t="s">
        <v>332</v>
      </c>
      <c r="K49" s="421">
        <f>LOOKUP(1E+100,M49:AB49)</f>
        <v>1200</v>
      </c>
      <c r="M49" s="421">
        <v>1200</v>
      </c>
    </row>
    <row r="50" spans="1:16" x14ac:dyDescent="0.3">
      <c r="A50" s="420">
        <v>3</v>
      </c>
      <c r="C50" s="420">
        <f>IF(E50=E49,C49+1,1)</f>
        <v>42</v>
      </c>
      <c r="D50" s="420">
        <f>IF(K50=K49,D49,C50)</f>
        <v>32</v>
      </c>
      <c r="E50" s="420">
        <f>10+VALUE(RIGHT(LEFT(G50,3),1))</f>
        <v>12</v>
      </c>
      <c r="F50" s="420" t="str">
        <f>RIGHT(G50,2) &amp; IF(A50&lt;2,"x","")</f>
        <v>pm</v>
      </c>
      <c r="G50" s="420" t="s">
        <v>333</v>
      </c>
      <c r="H50" s="420" t="s">
        <v>334</v>
      </c>
      <c r="I50" s="420" t="s">
        <v>335</v>
      </c>
      <c r="K50" s="421">
        <f>LOOKUP(1E+100,M50:AB50)</f>
        <v>1200</v>
      </c>
      <c r="M50" s="421">
        <v>1200</v>
      </c>
    </row>
    <row r="51" spans="1:16" x14ac:dyDescent="0.3">
      <c r="A51" s="420">
        <v>2</v>
      </c>
      <c r="C51" s="420">
        <f>IF(E51=E50,C50+1,1)</f>
        <v>43</v>
      </c>
      <c r="D51" s="420">
        <f>IF(K51=K50,D50,C51)</f>
        <v>43</v>
      </c>
      <c r="E51" s="420">
        <f>10+VALUE(RIGHT(LEFT(G51,3),1))</f>
        <v>12</v>
      </c>
      <c r="F51" s="420" t="str">
        <f>RIGHT(G51,2) &amp; IF(A51&lt;2,"x","")</f>
        <v>pm</v>
      </c>
      <c r="G51" s="426" t="s">
        <v>150</v>
      </c>
      <c r="H51" s="429" t="s">
        <v>1071</v>
      </c>
      <c r="I51" s="426" t="s">
        <v>149</v>
      </c>
      <c r="K51" s="421">
        <f>LOOKUP(1E+100,M51:AB51)</f>
        <v>1198.5075103942904</v>
      </c>
      <c r="M51" s="421">
        <v>1200</v>
      </c>
      <c r="P51" s="420">
        <v>1198.5075103942904</v>
      </c>
    </row>
    <row r="52" spans="1:16" x14ac:dyDescent="0.3">
      <c r="A52" s="420">
        <v>4</v>
      </c>
      <c r="C52" s="420">
        <f>IF(E52=E51,C51+1,1)</f>
        <v>44</v>
      </c>
      <c r="D52" s="420">
        <f>IF(K52=K51,D51,C52)</f>
        <v>44</v>
      </c>
      <c r="E52" s="420">
        <f>10+VALUE(RIGHT(LEFT(G52,3),1))</f>
        <v>12</v>
      </c>
      <c r="F52" s="420" t="str">
        <f>RIGHT(G52,2) &amp; IF(A52&lt;2,"x","")</f>
        <v>pm</v>
      </c>
      <c r="G52" s="420" t="s">
        <v>144</v>
      </c>
      <c r="H52" s="420" t="s">
        <v>288</v>
      </c>
      <c r="I52" s="420" t="s">
        <v>159</v>
      </c>
      <c r="K52" s="421">
        <f>LOOKUP(1E+100,M52:AB52)</f>
        <v>1189.1105508037228</v>
      </c>
      <c r="M52" s="421">
        <v>1200</v>
      </c>
      <c r="P52" s="420">
        <v>1189.1105508037228</v>
      </c>
    </row>
    <row r="53" spans="1:16" x14ac:dyDescent="0.3">
      <c r="A53" s="420">
        <v>3</v>
      </c>
      <c r="C53" s="420">
        <f>IF(E53=E52,C52+1,1)</f>
        <v>45</v>
      </c>
      <c r="D53" s="420">
        <f>IF(K53=K52,D52,C53)</f>
        <v>45</v>
      </c>
      <c r="E53" s="420">
        <f>10+VALUE(RIGHT(LEFT(G53,3),1))</f>
        <v>12</v>
      </c>
      <c r="F53" s="420" t="str">
        <f>RIGHT(G53,2) &amp; IF(A53&lt;2,"x","")</f>
        <v>pm</v>
      </c>
      <c r="G53" s="420" t="s">
        <v>304</v>
      </c>
      <c r="H53" s="420" t="s">
        <v>305</v>
      </c>
      <c r="I53" s="420" t="s">
        <v>306</v>
      </c>
      <c r="K53" s="421">
        <f>LOOKUP(1E+100,M53:AB53)</f>
        <v>1184.4234246867265</v>
      </c>
      <c r="M53" s="421">
        <v>1266.6666666666667</v>
      </c>
      <c r="N53" s="420">
        <v>1184.4234246867265</v>
      </c>
    </row>
    <row r="54" spans="1:16" x14ac:dyDescent="0.3">
      <c r="A54" s="420">
        <v>2</v>
      </c>
      <c r="C54" s="420">
        <f>IF(E54=E53,C53+1,1)</f>
        <v>46</v>
      </c>
      <c r="D54" s="420">
        <f>IF(K54=K53,D53,C54)</f>
        <v>46</v>
      </c>
      <c r="E54" s="420">
        <f>10+VALUE(RIGHT(LEFT(G54,3),1))</f>
        <v>12</v>
      </c>
      <c r="F54" s="420" t="str">
        <f>RIGHT(G54,2) &amp; IF(A54&lt;2,"x","")</f>
        <v>pm</v>
      </c>
      <c r="G54" s="420" t="s">
        <v>156</v>
      </c>
      <c r="H54" s="420" t="s">
        <v>273</v>
      </c>
      <c r="I54" s="420" t="s">
        <v>324</v>
      </c>
      <c r="K54" s="421">
        <f>LOOKUP(1E+100,M54:AB54)</f>
        <v>1176.7513934507317</v>
      </c>
      <c r="M54" s="421">
        <v>1200</v>
      </c>
      <c r="P54" s="420">
        <v>1176.7513934507317</v>
      </c>
    </row>
    <row r="55" spans="1:16" x14ac:dyDescent="0.3">
      <c r="A55" s="420">
        <v>3</v>
      </c>
      <c r="C55" s="420">
        <f>IF(E55=E54,C54+1,1)</f>
        <v>47</v>
      </c>
      <c r="D55" s="420">
        <f>IF(K55=K54,D54,C55)</f>
        <v>47</v>
      </c>
      <c r="E55" s="420">
        <f>10+VALUE(RIGHT(LEFT(G55,3),1))</f>
        <v>12</v>
      </c>
      <c r="F55" s="420" t="str">
        <f>RIGHT(G55,2) &amp; IF(A55&lt;2,"x","")</f>
        <v>pm</v>
      </c>
      <c r="G55" s="420" t="s">
        <v>168</v>
      </c>
      <c r="H55" s="420" t="s">
        <v>267</v>
      </c>
      <c r="I55" s="420" t="s">
        <v>320</v>
      </c>
      <c r="K55" s="421">
        <f>LOOKUP(1E+100,M55:AB55)</f>
        <v>1157.2304177245248</v>
      </c>
      <c r="M55" s="421">
        <v>1200</v>
      </c>
      <c r="P55" s="420">
        <v>1157.2304177245248</v>
      </c>
    </row>
    <row r="56" spans="1:16" x14ac:dyDescent="0.3">
      <c r="A56" s="420">
        <v>2</v>
      </c>
      <c r="C56" s="420">
        <f>IF(E56=E55,C55+1,1)</f>
        <v>48</v>
      </c>
      <c r="D56" s="420">
        <f>IF(K56=K55,D55,C56)</f>
        <v>47</v>
      </c>
      <c r="E56" s="420">
        <f>10+VALUE(RIGHT(LEFT(G56,3),1))</f>
        <v>12</v>
      </c>
      <c r="F56" s="420" t="str">
        <f>RIGHT(G56,2) &amp; IF(A56&lt;2,"x","")</f>
        <v>pm</v>
      </c>
      <c r="G56" s="426" t="s">
        <v>168</v>
      </c>
      <c r="H56" s="429" t="s">
        <v>1074</v>
      </c>
      <c r="I56" s="426" t="s">
        <v>167</v>
      </c>
      <c r="K56" s="421">
        <f>LOOKUP(1E+100,M56:AB56)</f>
        <v>1157.2304177245248</v>
      </c>
      <c r="M56" s="421">
        <v>1200</v>
      </c>
      <c r="P56" s="420">
        <v>1157.2304177245248</v>
      </c>
    </row>
    <row r="57" spans="1:16" x14ac:dyDescent="0.3">
      <c r="A57" s="420">
        <v>2</v>
      </c>
      <c r="C57" s="420">
        <f>IF(E57=E56,C56+1,1)</f>
        <v>49</v>
      </c>
      <c r="D57" s="420">
        <f>IF(K57=K56,D56,C57)</f>
        <v>49</v>
      </c>
      <c r="E57" s="420">
        <f>10+VALUE(RIGHT(LEFT(G57,3),1))</f>
        <v>12</v>
      </c>
      <c r="F57" s="420" t="str">
        <f>RIGHT(G57,2) &amp; IF(A57&lt;2,"x","")</f>
        <v>pm</v>
      </c>
      <c r="G57" s="426" t="s">
        <v>154</v>
      </c>
      <c r="H57" s="429" t="s">
        <v>1072</v>
      </c>
      <c r="I57" s="426" t="s">
        <v>153</v>
      </c>
      <c r="K57" s="421">
        <f>LOOKUP(1E+100,M57:AB57)</f>
        <v>1151.5489354378585</v>
      </c>
      <c r="M57" s="421">
        <v>1200</v>
      </c>
      <c r="P57" s="420">
        <v>1151.5489354378585</v>
      </c>
    </row>
    <row r="58" spans="1:16" x14ac:dyDescent="0.3">
      <c r="A58" s="420">
        <v>2</v>
      </c>
      <c r="C58" s="420">
        <f>IF(E58=E57,C57+1,1)</f>
        <v>50</v>
      </c>
      <c r="D58" s="420">
        <f>IF(K58=K57,D57,C58)</f>
        <v>50</v>
      </c>
      <c r="E58" s="420">
        <f>10+VALUE(RIGHT(LEFT(G58,3),1))</f>
        <v>12</v>
      </c>
      <c r="F58" s="420" t="str">
        <f>RIGHT(G58,2) &amp; IF(A58&lt;2,"x","")</f>
        <v>pm</v>
      </c>
      <c r="G58" s="426" t="s">
        <v>152</v>
      </c>
      <c r="H58" s="429" t="s">
        <v>1071</v>
      </c>
      <c r="I58" s="426" t="s">
        <v>151</v>
      </c>
      <c r="K58" s="421">
        <f>LOOKUP(1E+100,M58:AB58)</f>
        <v>1115.6045285651435</v>
      </c>
      <c r="M58" s="421">
        <v>1200</v>
      </c>
      <c r="P58" s="420">
        <v>1115.6045285651435</v>
      </c>
    </row>
    <row r="59" spans="1:16" x14ac:dyDescent="0.3">
      <c r="A59" s="420">
        <v>2</v>
      </c>
      <c r="C59" s="420">
        <f>IF(E59=E58,C58+1,1)</f>
        <v>51</v>
      </c>
      <c r="D59" s="420">
        <f>IF(K59=K58,D58,C59)</f>
        <v>51</v>
      </c>
      <c r="E59" s="420">
        <f>10+VALUE(RIGHT(LEFT(G59,3),1))</f>
        <v>12</v>
      </c>
      <c r="F59" s="420" t="str">
        <f>RIGHT(G59,2) &amp; IF(A59&lt;2,"x","")</f>
        <v>pm</v>
      </c>
      <c r="G59" s="426" t="s">
        <v>166</v>
      </c>
      <c r="H59" s="429" t="s">
        <v>1073</v>
      </c>
      <c r="I59" s="426" t="s">
        <v>165</v>
      </c>
      <c r="K59" s="421">
        <f>LOOKUP(1E+100,M59:AB59)</f>
        <v>1096.3127655480869</v>
      </c>
      <c r="M59" s="421">
        <v>1200</v>
      </c>
      <c r="P59" s="420">
        <v>1096.3127655480869</v>
      </c>
    </row>
    <row r="60" spans="1:16" x14ac:dyDescent="0.3">
      <c r="A60" s="420">
        <v>7</v>
      </c>
      <c r="C60" s="420">
        <f>IF(E60=E59,C59+1,1)</f>
        <v>1</v>
      </c>
      <c r="D60" s="420">
        <f>IF(K60=K59,D59,C60)</f>
        <v>1</v>
      </c>
      <c r="E60" s="420">
        <f>10+VALUE(RIGHT(LEFT(G60,3),1))</f>
        <v>13</v>
      </c>
      <c r="F60" s="420" t="str">
        <f>RIGHT(G60,2) &amp; IF(A60&lt;2,"x","")</f>
        <v>pm</v>
      </c>
      <c r="G60" s="420" t="s">
        <v>346</v>
      </c>
      <c r="H60" s="420" t="s">
        <v>278</v>
      </c>
      <c r="I60" s="420" t="s">
        <v>347</v>
      </c>
      <c r="K60" s="421">
        <f>LOOKUP(1E+100,M60:AB60)</f>
        <v>2166.6401899886919</v>
      </c>
      <c r="M60" s="421">
        <v>2000</v>
      </c>
      <c r="O60" s="420">
        <v>2082.9615061596824</v>
      </c>
      <c r="P60" s="420">
        <v>2166.6401899886919</v>
      </c>
    </row>
    <row r="61" spans="1:16" x14ac:dyDescent="0.3">
      <c r="A61" s="420">
        <v>5</v>
      </c>
      <c r="C61" s="420">
        <f>IF(E61=E60,C60+1,1)</f>
        <v>2</v>
      </c>
      <c r="D61" s="420">
        <f>IF(K61=K60,D60,C61)</f>
        <v>2</v>
      </c>
      <c r="E61" s="420">
        <f>10+VALUE(RIGHT(LEFT(G61,3),1))</f>
        <v>13</v>
      </c>
      <c r="F61" s="420" t="str">
        <f>RIGHT(G61,2) &amp; IF(A61&lt;2,"x","")</f>
        <v>pm</v>
      </c>
      <c r="G61" s="420" t="s">
        <v>358</v>
      </c>
      <c r="H61" s="420" t="s">
        <v>215</v>
      </c>
      <c r="I61" s="420" t="s">
        <v>359</v>
      </c>
      <c r="K61" s="421">
        <f>LOOKUP(1E+100,M61:AB61)</f>
        <v>2063.7160280611906</v>
      </c>
      <c r="M61" s="421">
        <v>2000</v>
      </c>
      <c r="P61" s="420">
        <v>2063.7160280611906</v>
      </c>
    </row>
    <row r="62" spans="1:16" x14ac:dyDescent="0.3">
      <c r="A62" s="420">
        <v>3</v>
      </c>
      <c r="C62" s="420">
        <f>IF(E62=E61,C61+1,1)</f>
        <v>3</v>
      </c>
      <c r="D62" s="420">
        <f>IF(K62=K61,D61,C62)</f>
        <v>3</v>
      </c>
      <c r="E62" s="420">
        <f>10+VALUE(RIGHT(LEFT(G62,3),1))</f>
        <v>13</v>
      </c>
      <c r="F62" s="420" t="str">
        <f>RIGHT(G62,2) &amp; IF(A62&lt;2,"x","")</f>
        <v>pm</v>
      </c>
      <c r="G62" s="420" t="s">
        <v>348</v>
      </c>
      <c r="H62" s="420" t="s">
        <v>349</v>
      </c>
      <c r="I62" s="420" t="s">
        <v>350</v>
      </c>
      <c r="K62" s="421">
        <f>LOOKUP(1E+100,M62:AB62)</f>
        <v>2000</v>
      </c>
      <c r="M62" s="421">
        <v>2000</v>
      </c>
    </row>
    <row r="63" spans="1:16" x14ac:dyDescent="0.3">
      <c r="A63" s="420">
        <v>2</v>
      </c>
      <c r="C63" s="420">
        <f>IF(E63=E62,C62+1,1)</f>
        <v>4</v>
      </c>
      <c r="D63" s="420">
        <f>IF(K63=K62,D62,C63)</f>
        <v>3</v>
      </c>
      <c r="E63" s="420">
        <f>10+VALUE(RIGHT(LEFT(G63,3),1))</f>
        <v>13</v>
      </c>
      <c r="F63" s="420" t="str">
        <f>RIGHT(G63,2) &amp; IF(A63&lt;2,"x","")</f>
        <v>pm</v>
      </c>
      <c r="G63" s="420" t="s">
        <v>364</v>
      </c>
      <c r="H63" s="420" t="s">
        <v>227</v>
      </c>
      <c r="I63" s="420" t="s">
        <v>365</v>
      </c>
      <c r="K63" s="421">
        <f>LOOKUP(1E+100,M63:AB63)</f>
        <v>2000</v>
      </c>
      <c r="M63" s="421">
        <v>2000</v>
      </c>
    </row>
    <row r="64" spans="1:16" x14ac:dyDescent="0.3">
      <c r="A64" s="420">
        <v>2</v>
      </c>
      <c r="C64" s="420">
        <f>IF(E64=E63,C63+1,1)</f>
        <v>5</v>
      </c>
      <c r="D64" s="420">
        <f>IF(K64=K63,D63,C64)</f>
        <v>3</v>
      </c>
      <c r="E64" s="420">
        <f>10+VALUE(RIGHT(LEFT(G64,3),1))</f>
        <v>13</v>
      </c>
      <c r="F64" s="420" t="str">
        <f>RIGHT(G64,2) &amp; IF(A64&lt;2,"x","")</f>
        <v>pm</v>
      </c>
      <c r="G64" s="420" t="s">
        <v>366</v>
      </c>
      <c r="H64" s="420" t="s">
        <v>221</v>
      </c>
      <c r="I64" s="420" t="s">
        <v>367</v>
      </c>
      <c r="K64" s="421">
        <f>LOOKUP(1E+100,M64:AB64)</f>
        <v>2000</v>
      </c>
      <c r="M64" s="421">
        <v>2000</v>
      </c>
    </row>
    <row r="65" spans="1:16" x14ac:dyDescent="0.3">
      <c r="A65" s="420">
        <v>6</v>
      </c>
      <c r="C65" s="420">
        <f>IF(E65=E64,C64+1,1)</f>
        <v>6</v>
      </c>
      <c r="D65" s="420">
        <f>IF(K65=K64,D64,C65)</f>
        <v>6</v>
      </c>
      <c r="E65" s="420">
        <f>10+VALUE(RIGHT(LEFT(G65,3),1))</f>
        <v>13</v>
      </c>
      <c r="F65" s="420" t="str">
        <f>RIGHT(G65,2) &amp; IF(A65&lt;2,"x","")</f>
        <v>pm</v>
      </c>
      <c r="G65" s="420" t="s">
        <v>338</v>
      </c>
      <c r="H65" s="420" t="s">
        <v>261</v>
      </c>
      <c r="I65" s="420" t="s">
        <v>339</v>
      </c>
      <c r="K65" s="421">
        <f>LOOKUP(1E+100,M65:AB65)</f>
        <v>1987.6646605891308</v>
      </c>
      <c r="M65" s="421">
        <v>2000</v>
      </c>
      <c r="O65" s="420">
        <v>2060.3419653407827</v>
      </c>
      <c r="P65" s="420">
        <v>1987.6646605891308</v>
      </c>
    </row>
    <row r="66" spans="1:16" x14ac:dyDescent="0.3">
      <c r="A66" s="420">
        <v>5</v>
      </c>
      <c r="C66" s="420">
        <f>IF(E66=E65,C65+1,1)</f>
        <v>7</v>
      </c>
      <c r="D66" s="420">
        <f>IF(K66=K65,D65,C66)</f>
        <v>7</v>
      </c>
      <c r="E66" s="420">
        <f>10+VALUE(RIGHT(LEFT(G66,3),1))</f>
        <v>13</v>
      </c>
      <c r="F66" s="420" t="str">
        <f>RIGHT(G66,2) &amp; IF(A66&lt;2,"x","")</f>
        <v>pm</v>
      </c>
      <c r="G66" s="420" t="s">
        <v>342</v>
      </c>
      <c r="H66" s="420" t="s">
        <v>224</v>
      </c>
      <c r="I66" s="420" t="s">
        <v>343</v>
      </c>
      <c r="K66" s="421">
        <f>LOOKUP(1E+100,M66:AB66)</f>
        <v>1978.843978202189</v>
      </c>
      <c r="M66" s="421">
        <v>2000</v>
      </c>
      <c r="O66" s="420">
        <v>1978.843978202189</v>
      </c>
    </row>
    <row r="67" spans="1:16" x14ac:dyDescent="0.3">
      <c r="A67" s="420">
        <v>5</v>
      </c>
      <c r="C67" s="420">
        <f>IF(E67=E66,C66+1,1)</f>
        <v>8</v>
      </c>
      <c r="D67" s="420">
        <f>IF(K67=K66,D66,C67)</f>
        <v>8</v>
      </c>
      <c r="E67" s="420">
        <f>10+VALUE(RIGHT(LEFT(G67,3),1))</f>
        <v>13</v>
      </c>
      <c r="F67" s="420" t="str">
        <f>RIGHT(G67,2) &amp; IF(A67&lt;2,"x","")</f>
        <v>pm</v>
      </c>
      <c r="G67" s="420" t="s">
        <v>360</v>
      </c>
      <c r="H67" s="420" t="s">
        <v>215</v>
      </c>
      <c r="I67" s="420" t="s">
        <v>361</v>
      </c>
      <c r="K67" s="421">
        <f>LOOKUP(1E+100,M67:AB67)</f>
        <v>1978.7125428643328</v>
      </c>
      <c r="M67" s="421">
        <v>2000</v>
      </c>
      <c r="P67" s="420">
        <v>1978.7125428643328</v>
      </c>
    </row>
    <row r="68" spans="1:16" x14ac:dyDescent="0.3">
      <c r="A68" s="420">
        <v>6</v>
      </c>
      <c r="C68" s="420">
        <f>IF(E68=E67,C67+1,1)</f>
        <v>9</v>
      </c>
      <c r="D68" s="420">
        <f>IF(K68=K67,D67,C68)</f>
        <v>9</v>
      </c>
      <c r="E68" s="420">
        <f>10+VALUE(RIGHT(LEFT(G68,3),1))</f>
        <v>13</v>
      </c>
      <c r="F68" s="420" t="str">
        <f>RIGHT(G68,2) &amp; IF(A68&lt;2,"x","")</f>
        <v>pm</v>
      </c>
      <c r="G68" s="420" t="s">
        <v>377</v>
      </c>
      <c r="H68" s="420" t="s">
        <v>288</v>
      </c>
      <c r="I68" s="420" t="s">
        <v>378</v>
      </c>
      <c r="K68" s="421">
        <f>LOOKUP(1E+100,M68:AB68)</f>
        <v>1966.6666666666667</v>
      </c>
      <c r="M68" s="421">
        <v>1966.6666666666667</v>
      </c>
    </row>
    <row r="69" spans="1:16" x14ac:dyDescent="0.3">
      <c r="A69" s="420">
        <v>5</v>
      </c>
      <c r="C69" s="420">
        <f>IF(E69=E68,C68+1,1)</f>
        <v>10</v>
      </c>
      <c r="D69" s="420">
        <f>IF(K69=K68,D68,C69)</f>
        <v>10</v>
      </c>
      <c r="E69" s="420">
        <f>10+VALUE(RIGHT(LEFT(G69,3),1))</f>
        <v>13</v>
      </c>
      <c r="F69" s="420" t="str">
        <f>RIGHT(G69,2) &amp; IF(A69&lt;2,"x","")</f>
        <v>pm</v>
      </c>
      <c r="G69" s="420" t="s">
        <v>344</v>
      </c>
      <c r="H69" s="420" t="s">
        <v>224</v>
      </c>
      <c r="I69" s="420" t="s">
        <v>345</v>
      </c>
      <c r="K69" s="421">
        <f>LOOKUP(1E+100,M69:AB69)</f>
        <v>1966.1739071777461</v>
      </c>
      <c r="M69" s="421">
        <v>2000</v>
      </c>
      <c r="O69" s="420">
        <v>1966.1739071777461</v>
      </c>
    </row>
    <row r="70" spans="1:16" x14ac:dyDescent="0.3">
      <c r="A70" s="420">
        <v>6</v>
      </c>
      <c r="C70" s="420">
        <f>IF(E70=E69,C69+1,1)</f>
        <v>11</v>
      </c>
      <c r="D70" s="420">
        <f>IF(K70=K69,D69,C70)</f>
        <v>11</v>
      </c>
      <c r="E70" s="420">
        <f>10+VALUE(RIGHT(LEFT(G70,3),1))</f>
        <v>13</v>
      </c>
      <c r="F70" s="420" t="str">
        <f>RIGHT(G70,2) &amp; IF(A70&lt;2,"x","")</f>
        <v>pm</v>
      </c>
      <c r="G70" s="420" t="s">
        <v>362</v>
      </c>
      <c r="H70" s="420" t="s">
        <v>288</v>
      </c>
      <c r="I70" s="420" t="s">
        <v>363</v>
      </c>
      <c r="K70" s="421">
        <f>LOOKUP(1E+100,M70:AB70)</f>
        <v>1941.3772442307425</v>
      </c>
      <c r="M70" s="421">
        <v>2000</v>
      </c>
      <c r="O70" s="420">
        <v>1941.3772442307425</v>
      </c>
    </row>
    <row r="71" spans="1:16" x14ac:dyDescent="0.3">
      <c r="A71" s="420">
        <v>2</v>
      </c>
      <c r="C71" s="420">
        <f>IF(E71=E70,C70+1,1)</f>
        <v>12</v>
      </c>
      <c r="D71" s="420">
        <f>IF(K71=K70,D70,C71)</f>
        <v>12</v>
      </c>
      <c r="E71" s="420">
        <f>10+VALUE(RIGHT(LEFT(G71,3),1))</f>
        <v>13</v>
      </c>
      <c r="F71" s="420" t="str">
        <f>RIGHT(G71,2) &amp; IF(A71&lt;2,"x","")</f>
        <v>pm</v>
      </c>
      <c r="G71" s="419" t="s">
        <v>1062</v>
      </c>
      <c r="H71" s="420" t="s">
        <v>215</v>
      </c>
      <c r="I71" s="419" t="s">
        <v>1063</v>
      </c>
      <c r="K71" s="421">
        <f>LOOKUP(1E+100,M71:AB71)</f>
        <v>1910.2697823414592</v>
      </c>
      <c r="M71" s="421">
        <v>2000</v>
      </c>
      <c r="P71" s="420">
        <v>1910.2697823414592</v>
      </c>
    </row>
    <row r="72" spans="1:16" x14ac:dyDescent="0.3">
      <c r="A72" s="420">
        <v>4</v>
      </c>
      <c r="C72" s="420">
        <f>IF(E72=E71,C71+1,1)</f>
        <v>13</v>
      </c>
      <c r="D72" s="420">
        <f>IF(K72=K71,D71,C72)</f>
        <v>13</v>
      </c>
      <c r="E72" s="420">
        <f>10+VALUE(RIGHT(LEFT(G72,3),1))</f>
        <v>13</v>
      </c>
      <c r="F72" s="420" t="str">
        <f>RIGHT(G72,2) &amp; IF(A72&lt;2,"x","")</f>
        <v>pm</v>
      </c>
      <c r="G72" s="420" t="s">
        <v>379</v>
      </c>
      <c r="H72" s="420" t="s">
        <v>352</v>
      </c>
      <c r="I72" s="420" t="s">
        <v>380</v>
      </c>
      <c r="K72" s="421">
        <f>LOOKUP(1E+100,M72:AB72)</f>
        <v>1900</v>
      </c>
      <c r="M72" s="421">
        <v>1900</v>
      </c>
    </row>
    <row r="73" spans="1:16" x14ac:dyDescent="0.3">
      <c r="A73" s="420">
        <v>4</v>
      </c>
      <c r="C73" s="420">
        <f>IF(E73=E72,C72+1,1)</f>
        <v>14</v>
      </c>
      <c r="D73" s="420">
        <f>IF(K73=K72,D72,C73)</f>
        <v>14</v>
      </c>
      <c r="E73" s="420">
        <f>10+VALUE(RIGHT(LEFT(G73,3),1))</f>
        <v>13</v>
      </c>
      <c r="F73" s="420" t="str">
        <f>RIGHT(G73,2) &amp; IF(A73&lt;2,"x","")</f>
        <v>pm</v>
      </c>
      <c r="G73" s="420" t="s">
        <v>340</v>
      </c>
      <c r="H73" s="420" t="s">
        <v>224</v>
      </c>
      <c r="I73" s="420" t="s">
        <v>341</v>
      </c>
      <c r="K73" s="421">
        <f>LOOKUP(1E+100,M73:AB73)</f>
        <v>1889.35082931787</v>
      </c>
      <c r="M73" s="421">
        <v>2000</v>
      </c>
      <c r="O73" s="420">
        <v>1889.35082931787</v>
      </c>
    </row>
    <row r="74" spans="1:16" x14ac:dyDescent="0.3">
      <c r="A74" s="420">
        <v>3</v>
      </c>
      <c r="C74" s="420">
        <f>IF(E74=E73,C73+1,1)</f>
        <v>15</v>
      </c>
      <c r="D74" s="420">
        <f>IF(K74=K73,D73,C74)</f>
        <v>15</v>
      </c>
      <c r="E74" s="420">
        <f>10+VALUE(RIGHT(LEFT(G74,3),1))</f>
        <v>13</v>
      </c>
      <c r="F74" s="420" t="str">
        <f>RIGHT(G74,2) &amp; IF(A74&lt;2,"x","")</f>
        <v>pm</v>
      </c>
      <c r="G74" s="420" t="s">
        <v>381</v>
      </c>
      <c r="H74" s="420" t="s">
        <v>215</v>
      </c>
      <c r="I74" s="420" t="s">
        <v>382</v>
      </c>
      <c r="K74" s="421">
        <f>LOOKUP(1E+100,M74:AB74)</f>
        <v>1879.0445986616371</v>
      </c>
      <c r="M74" s="421">
        <v>1866.6666666666667</v>
      </c>
      <c r="P74" s="420">
        <v>1879.0445986616371</v>
      </c>
    </row>
    <row r="75" spans="1:16" x14ac:dyDescent="0.3">
      <c r="A75" s="420">
        <v>5</v>
      </c>
      <c r="C75" s="420">
        <f>IF(E75=E74,C74+1,1)</f>
        <v>16</v>
      </c>
      <c r="D75" s="420">
        <f>IF(K75=K74,D74,C75)</f>
        <v>16</v>
      </c>
      <c r="E75" s="420">
        <f>10+VALUE(RIGHT(LEFT(G75,3),1))</f>
        <v>13</v>
      </c>
      <c r="F75" s="420" t="str">
        <f>RIGHT(G75,2) &amp; IF(A75&lt;2,"x","")</f>
        <v>pm</v>
      </c>
      <c r="G75" s="420" t="s">
        <v>388</v>
      </c>
      <c r="H75" s="420" t="s">
        <v>264</v>
      </c>
      <c r="I75" s="420" t="s">
        <v>389</v>
      </c>
      <c r="K75" s="421">
        <f>LOOKUP(1E+100,M75:AB75)</f>
        <v>1781.2397204790218</v>
      </c>
      <c r="M75" s="421">
        <v>1680</v>
      </c>
      <c r="P75" s="420">
        <v>1781.2397204790218</v>
      </c>
    </row>
    <row r="76" spans="1:16" x14ac:dyDescent="0.3">
      <c r="A76" s="420">
        <v>3</v>
      </c>
      <c r="C76" s="420">
        <f>IF(E76=E75,C75+1,1)</f>
        <v>17</v>
      </c>
      <c r="D76" s="420">
        <f>IF(K76=K75,D75,C76)</f>
        <v>17</v>
      </c>
      <c r="E76" s="420">
        <f>10+VALUE(RIGHT(LEFT(G76,3),1))</f>
        <v>13</v>
      </c>
      <c r="F76" s="420" t="str">
        <f>RIGHT(G76,2) &amp; IF(A76&lt;2,"x","")</f>
        <v>pm</v>
      </c>
      <c r="G76" s="420" t="s">
        <v>392</v>
      </c>
      <c r="H76" s="420" t="s">
        <v>243</v>
      </c>
      <c r="I76" s="420" t="s">
        <v>393</v>
      </c>
      <c r="K76" s="421">
        <f>LOOKUP(1E+100,M76:AB76)</f>
        <v>1724.4275462175704</v>
      </c>
      <c r="M76" s="421">
        <v>1600</v>
      </c>
      <c r="N76" s="420">
        <v>1734.5689277635004</v>
      </c>
      <c r="P76" s="420">
        <v>1724.4275462175704</v>
      </c>
    </row>
    <row r="77" spans="1:16" x14ac:dyDescent="0.3">
      <c r="A77" s="420">
        <v>4</v>
      </c>
      <c r="C77" s="420">
        <f>IF(E77=E76,C76+1,1)</f>
        <v>18</v>
      </c>
      <c r="D77" s="420">
        <f>IF(K77=K76,D76,C77)</f>
        <v>18</v>
      </c>
      <c r="E77" s="420">
        <f>10+VALUE(RIGHT(LEFT(G77,3),1))</f>
        <v>13</v>
      </c>
      <c r="F77" s="420" t="str">
        <f>RIGHT(G77,2) &amp; IF(A77&lt;2,"x","")</f>
        <v>pm</v>
      </c>
      <c r="G77" s="420" t="s">
        <v>404</v>
      </c>
      <c r="H77" s="420" t="s">
        <v>256</v>
      </c>
      <c r="I77" s="420" t="s">
        <v>405</v>
      </c>
      <c r="K77" s="421">
        <f>LOOKUP(1E+100,M77:AB77)</f>
        <v>1717.3090759057159</v>
      </c>
      <c r="M77" s="421">
        <v>1600</v>
      </c>
      <c r="P77" s="420">
        <v>1717.3090759057159</v>
      </c>
    </row>
    <row r="78" spans="1:16" x14ac:dyDescent="0.3">
      <c r="A78" s="420">
        <v>5</v>
      </c>
      <c r="C78" s="420">
        <f>IF(E78=E77,C77+1,1)</f>
        <v>19</v>
      </c>
      <c r="D78" s="420">
        <f>IF(K78=K77,D77,C78)</f>
        <v>19</v>
      </c>
      <c r="E78" s="420">
        <f>10+VALUE(RIGHT(LEFT(G78,3),1))</f>
        <v>13</v>
      </c>
      <c r="F78" s="420" t="str">
        <f>RIGHT(G78,2) &amp; IF(A78&lt;2,"x","")</f>
        <v>pm</v>
      </c>
      <c r="G78" s="420" t="s">
        <v>402</v>
      </c>
      <c r="H78" s="420" t="s">
        <v>256</v>
      </c>
      <c r="I78" s="420" t="s">
        <v>403</v>
      </c>
      <c r="K78" s="421">
        <f>LOOKUP(1E+100,M78:AB78)</f>
        <v>1714.4274743770873</v>
      </c>
      <c r="M78" s="421">
        <v>1600</v>
      </c>
      <c r="N78" s="420">
        <v>1703.6510057867774</v>
      </c>
      <c r="P78" s="420">
        <v>1714.4274743770873</v>
      </c>
    </row>
    <row r="79" spans="1:16" x14ac:dyDescent="0.3">
      <c r="A79" s="420">
        <v>4</v>
      </c>
      <c r="C79" s="420">
        <f>IF(E79=E78,C78+1,1)</f>
        <v>20</v>
      </c>
      <c r="D79" s="420">
        <f>IF(K79=K78,D78,C79)</f>
        <v>20</v>
      </c>
      <c r="E79" s="420">
        <f>10+VALUE(RIGHT(LEFT(G79,3),1))</f>
        <v>13</v>
      </c>
      <c r="F79" s="420" t="str">
        <f>RIGHT(G79,2) &amp; IF(A79&lt;2,"x","")</f>
        <v>pm</v>
      </c>
      <c r="G79" s="420" t="s">
        <v>386</v>
      </c>
      <c r="H79" s="420" t="s">
        <v>283</v>
      </c>
      <c r="I79" s="420" t="s">
        <v>387</v>
      </c>
      <c r="K79" s="421">
        <f>LOOKUP(1E+100,M79:AB79)</f>
        <v>1710.6470272643505</v>
      </c>
      <c r="M79" s="421">
        <v>1700</v>
      </c>
      <c r="P79" s="420">
        <v>1710.6470272643505</v>
      </c>
    </row>
    <row r="80" spans="1:16" x14ac:dyDescent="0.3">
      <c r="A80" s="420">
        <v>3</v>
      </c>
      <c r="C80" s="420">
        <f>IF(E80=E79,C79+1,1)</f>
        <v>21</v>
      </c>
      <c r="D80" s="420">
        <f>IF(K80=K79,D79,C80)</f>
        <v>21</v>
      </c>
      <c r="E80" s="420">
        <f>10+VALUE(RIGHT(LEFT(G80,3),1))</f>
        <v>13</v>
      </c>
      <c r="F80" s="420" t="str">
        <f>RIGHT(G80,2) &amp; IF(A80&lt;2,"x","")</f>
        <v>pm</v>
      </c>
      <c r="G80" s="420" t="s">
        <v>394</v>
      </c>
      <c r="H80" s="420" t="s">
        <v>243</v>
      </c>
      <c r="I80" s="420" t="s">
        <v>395</v>
      </c>
      <c r="K80" s="421">
        <f>LOOKUP(1E+100,M80:AB80)</f>
        <v>1675.5610946866284</v>
      </c>
      <c r="M80" s="421">
        <v>1600</v>
      </c>
      <c r="P80" s="420">
        <v>1675.5610946866284</v>
      </c>
    </row>
    <row r="81" spans="1:16" x14ac:dyDescent="0.3">
      <c r="A81" s="420">
        <v>6</v>
      </c>
      <c r="C81" s="420">
        <f>IF(E81=E80,C80+1,1)</f>
        <v>22</v>
      </c>
      <c r="D81" s="420">
        <f>IF(K81=K80,D80,C81)</f>
        <v>22</v>
      </c>
      <c r="E81" s="420">
        <f>10+VALUE(RIGHT(LEFT(G81,3),1))</f>
        <v>13</v>
      </c>
      <c r="F81" s="420" t="str">
        <f>RIGHT(G81,2) &amp; IF(A81&lt;2,"x","")</f>
        <v>pm</v>
      </c>
      <c r="G81" s="420" t="s">
        <v>422</v>
      </c>
      <c r="H81" s="420" t="s">
        <v>224</v>
      </c>
      <c r="I81" s="420" t="s">
        <v>423</v>
      </c>
      <c r="K81" s="421">
        <f>LOOKUP(1E+100,M81:AB81)</f>
        <v>1648.4137496847168</v>
      </c>
      <c r="M81" s="421">
        <v>1600</v>
      </c>
      <c r="P81" s="420">
        <v>1648.4137496847168</v>
      </c>
    </row>
    <row r="82" spans="1:16" x14ac:dyDescent="0.3">
      <c r="A82" s="420">
        <v>3</v>
      </c>
      <c r="C82" s="420">
        <f>IF(E82=E81,C81+1,1)</f>
        <v>23</v>
      </c>
      <c r="D82" s="420">
        <f>IF(K82=K81,D81,C82)</f>
        <v>23</v>
      </c>
      <c r="E82" s="420">
        <f>10+VALUE(RIGHT(LEFT(G82,3),1))</f>
        <v>13</v>
      </c>
      <c r="F82" s="420" t="str">
        <f>RIGHT(G82,2) &amp; IF(A82&lt;2,"x","")</f>
        <v>pm</v>
      </c>
      <c r="G82" s="420" t="s">
        <v>430</v>
      </c>
      <c r="H82" s="420" t="s">
        <v>352</v>
      </c>
      <c r="I82" s="420" t="s">
        <v>431</v>
      </c>
      <c r="K82" s="421">
        <f>LOOKUP(1E+100,M82:AB82)</f>
        <v>1624.5609294988997</v>
      </c>
      <c r="M82" s="421">
        <v>1600</v>
      </c>
      <c r="P82" s="420">
        <v>1624.5609294988997</v>
      </c>
    </row>
    <row r="83" spans="1:16" x14ac:dyDescent="0.3">
      <c r="A83" s="420">
        <v>6</v>
      </c>
      <c r="C83" s="420">
        <f>IF(E83=E82,C82+1,1)</f>
        <v>24</v>
      </c>
      <c r="D83" s="420">
        <f>IF(K83=K82,D82,C83)</f>
        <v>24</v>
      </c>
      <c r="E83" s="420">
        <f>10+VALUE(RIGHT(LEFT(G83,3),1))</f>
        <v>13</v>
      </c>
      <c r="F83" s="420" t="str">
        <f>RIGHT(G83,2) &amp; IF(A83&lt;2,"x","")</f>
        <v>pm</v>
      </c>
      <c r="G83" s="420" t="s">
        <v>424</v>
      </c>
      <c r="H83" s="420" t="s">
        <v>224</v>
      </c>
      <c r="I83" s="420" t="s">
        <v>425</v>
      </c>
      <c r="K83" s="421">
        <f>LOOKUP(1E+100,M83:AB83)</f>
        <v>1620.996700650938</v>
      </c>
      <c r="M83" s="421">
        <v>1600</v>
      </c>
      <c r="P83" s="420">
        <v>1620.996700650938</v>
      </c>
    </row>
    <row r="84" spans="1:16" x14ac:dyDescent="0.3">
      <c r="A84" s="420">
        <v>6</v>
      </c>
      <c r="C84" s="420">
        <f>IF(E84=E83,C83+1,1)</f>
        <v>25</v>
      </c>
      <c r="D84" s="420">
        <f>IF(K84=K83,D83,C84)</f>
        <v>25</v>
      </c>
      <c r="E84" s="420">
        <f>10+VALUE(RIGHT(LEFT(G84,3),1))</f>
        <v>13</v>
      </c>
      <c r="F84" s="420" t="str">
        <f>RIGHT(G84,2) &amp; IF(A84&lt;2,"x","")</f>
        <v>pm</v>
      </c>
      <c r="G84" s="420" t="s">
        <v>406</v>
      </c>
      <c r="H84" s="420" t="s">
        <v>261</v>
      </c>
      <c r="I84" s="420" t="s">
        <v>407</v>
      </c>
      <c r="K84" s="421">
        <f>LOOKUP(1E+100,M84:AB84)</f>
        <v>1616.737428819403</v>
      </c>
      <c r="M84" s="421">
        <v>1600</v>
      </c>
      <c r="P84" s="420">
        <v>1616.737428819403</v>
      </c>
    </row>
    <row r="85" spans="1:16" x14ac:dyDescent="0.3">
      <c r="A85" s="420">
        <v>3</v>
      </c>
      <c r="C85" s="420">
        <f>IF(E85=E84,C84+1,1)</f>
        <v>26</v>
      </c>
      <c r="D85" s="420">
        <f>IF(K85=K84,D84,C85)</f>
        <v>26</v>
      </c>
      <c r="E85" s="420">
        <f>10+VALUE(RIGHT(LEFT(G85,3),1))</f>
        <v>13</v>
      </c>
      <c r="F85" s="420" t="str">
        <f>RIGHT(G85,2) &amp; IF(A85&lt;2,"x","")</f>
        <v>pm</v>
      </c>
      <c r="G85" s="420" t="s">
        <v>396</v>
      </c>
      <c r="H85" s="420" t="s">
        <v>243</v>
      </c>
      <c r="I85" s="420" t="s">
        <v>397</v>
      </c>
      <c r="K85" s="421">
        <f>LOOKUP(1E+100,M85:AB85)</f>
        <v>1607.7647501108029</v>
      </c>
      <c r="M85" s="421">
        <v>1600</v>
      </c>
      <c r="P85" s="420">
        <v>1607.7647501108029</v>
      </c>
    </row>
    <row r="86" spans="1:16" x14ac:dyDescent="0.3">
      <c r="A86" s="420">
        <v>4</v>
      </c>
      <c r="C86" s="420">
        <f>IF(E86=E85,C85+1,1)</f>
        <v>27</v>
      </c>
      <c r="D86" s="420">
        <f>IF(K86=K85,D85,C86)</f>
        <v>27</v>
      </c>
      <c r="E86" s="420">
        <f>10+VALUE(RIGHT(LEFT(G86,3),1))</f>
        <v>13</v>
      </c>
      <c r="F86" s="420" t="str">
        <f>RIGHT(G86,2) &amp; IF(A86&lt;2,"x","")</f>
        <v>pm</v>
      </c>
      <c r="G86" s="420" t="s">
        <v>398</v>
      </c>
      <c r="H86" s="420" t="s">
        <v>250</v>
      </c>
      <c r="I86" s="420" t="s">
        <v>399</v>
      </c>
      <c r="K86" s="421">
        <f>LOOKUP(1E+100,M86:AB86)</f>
        <v>1600</v>
      </c>
      <c r="M86" s="421">
        <v>1600</v>
      </c>
    </row>
    <row r="87" spans="1:16" x14ac:dyDescent="0.3">
      <c r="A87" s="420">
        <v>3</v>
      </c>
      <c r="C87" s="420">
        <f>IF(E87=E86,C86+1,1)</f>
        <v>28</v>
      </c>
      <c r="D87" s="420">
        <f>IF(K87=K86,D86,C87)</f>
        <v>27</v>
      </c>
      <c r="E87" s="420">
        <f>10+VALUE(RIGHT(LEFT(G87,3),1))</f>
        <v>13</v>
      </c>
      <c r="F87" s="420" t="str">
        <f>RIGHT(G87,2) &amp; IF(A87&lt;2,"x","")</f>
        <v>pm</v>
      </c>
      <c r="G87" s="420" t="s">
        <v>413</v>
      </c>
      <c r="H87" s="420" t="s">
        <v>267</v>
      </c>
      <c r="I87" s="420" t="s">
        <v>414</v>
      </c>
      <c r="K87" s="421">
        <f>LOOKUP(1E+100,M87:AB87)</f>
        <v>1600</v>
      </c>
      <c r="M87" s="421">
        <v>1600</v>
      </c>
    </row>
    <row r="88" spans="1:16" x14ac:dyDescent="0.3">
      <c r="A88" s="420">
        <v>3</v>
      </c>
      <c r="C88" s="420">
        <f>IF(E88=E87,C87+1,1)</f>
        <v>29</v>
      </c>
      <c r="D88" s="420">
        <f>IF(K88=K87,D87,C88)</f>
        <v>27</v>
      </c>
      <c r="E88" s="420">
        <f>10+VALUE(RIGHT(LEFT(G88,3),1))</f>
        <v>13</v>
      </c>
      <c r="F88" s="420" t="str">
        <f>RIGHT(G88,2) &amp; IF(A88&lt;2,"x","")</f>
        <v>pm</v>
      </c>
      <c r="G88" s="420" t="s">
        <v>426</v>
      </c>
      <c r="H88" s="420" t="s">
        <v>328</v>
      </c>
      <c r="I88" s="420" t="s">
        <v>427</v>
      </c>
      <c r="K88" s="421">
        <f>LOOKUP(1E+100,M88:AB88)</f>
        <v>1600</v>
      </c>
      <c r="M88" s="421">
        <v>1600</v>
      </c>
    </row>
    <row r="89" spans="1:16" x14ac:dyDescent="0.3">
      <c r="A89" s="420">
        <v>7</v>
      </c>
      <c r="C89" s="420">
        <f>IF(E89=E88,C88+1,1)</f>
        <v>30</v>
      </c>
      <c r="D89" s="420">
        <f>IF(K89=K88,D88,C89)</f>
        <v>30</v>
      </c>
      <c r="E89" s="420">
        <f>10+VALUE(RIGHT(LEFT(G89,3),1))</f>
        <v>13</v>
      </c>
      <c r="F89" s="420" t="str">
        <f>RIGHT(G89,2) &amp; IF(A89&lt;2,"x","")</f>
        <v>pm</v>
      </c>
      <c r="G89" s="420" t="s">
        <v>428</v>
      </c>
      <c r="H89" s="420" t="s">
        <v>278</v>
      </c>
      <c r="I89" s="420" t="s">
        <v>429</v>
      </c>
      <c r="K89" s="421">
        <f>LOOKUP(1E+100,M89:AB89)</f>
        <v>1598.9138359307153</v>
      </c>
      <c r="M89" s="421">
        <v>1600</v>
      </c>
      <c r="N89" s="420">
        <v>1633.4553905753462</v>
      </c>
      <c r="P89" s="420">
        <v>1598.9138359307153</v>
      </c>
    </row>
    <row r="90" spans="1:16" x14ac:dyDescent="0.3">
      <c r="A90" s="420">
        <v>6</v>
      </c>
      <c r="C90" s="420">
        <f>IF(E90=E89,C89+1,1)</f>
        <v>31</v>
      </c>
      <c r="D90" s="420">
        <f>IF(K90=K89,D89,C90)</f>
        <v>31</v>
      </c>
      <c r="E90" s="420">
        <f>10+VALUE(RIGHT(LEFT(G90,3),1))</f>
        <v>13</v>
      </c>
      <c r="F90" s="420" t="str">
        <f>RIGHT(G90,2) &amp; IF(A90&lt;2,"x","")</f>
        <v>pm</v>
      </c>
      <c r="G90" s="420" t="s">
        <v>420</v>
      </c>
      <c r="H90" s="420" t="s">
        <v>224</v>
      </c>
      <c r="I90" s="420" t="s">
        <v>421</v>
      </c>
      <c r="K90" s="421">
        <f>LOOKUP(1E+100,M90:AB90)</f>
        <v>1597.3879142967439</v>
      </c>
      <c r="M90" s="421">
        <v>1600</v>
      </c>
      <c r="P90" s="420">
        <v>1597.3879142967439</v>
      </c>
    </row>
    <row r="91" spans="1:16" x14ac:dyDescent="0.3">
      <c r="A91" s="420">
        <v>5</v>
      </c>
      <c r="C91" s="420">
        <f>IF(E91=E90,C90+1,1)</f>
        <v>32</v>
      </c>
      <c r="D91" s="420">
        <f>IF(K91=K90,D90,C91)</f>
        <v>32</v>
      </c>
      <c r="E91" s="420">
        <f>10+VALUE(RIGHT(LEFT(G91,3),1))</f>
        <v>13</v>
      </c>
      <c r="F91" s="420" t="str">
        <f>RIGHT(G91,2) &amp; IF(A91&lt;2,"x","")</f>
        <v>pm</v>
      </c>
      <c r="G91" s="420" t="s">
        <v>400</v>
      </c>
      <c r="H91" s="420" t="s">
        <v>253</v>
      </c>
      <c r="I91" s="420" t="s">
        <v>401</v>
      </c>
      <c r="K91" s="421">
        <f>LOOKUP(1E+100,M91:AB91)</f>
        <v>1590.7715876195714</v>
      </c>
      <c r="M91" s="421">
        <v>1600</v>
      </c>
      <c r="P91" s="420">
        <v>1590.7715876195714</v>
      </c>
    </row>
    <row r="92" spans="1:16" x14ac:dyDescent="0.3">
      <c r="A92" s="420">
        <v>4</v>
      </c>
      <c r="C92" s="420">
        <f>IF(E92=E91,C91+1,1)</f>
        <v>33</v>
      </c>
      <c r="D92" s="420">
        <f>IF(K92=K91,D91,C92)</f>
        <v>33</v>
      </c>
      <c r="E92" s="420">
        <f>10+VALUE(RIGHT(LEFT(G92,3),1))</f>
        <v>13</v>
      </c>
      <c r="F92" s="420" t="str">
        <f>RIGHT(G92,2) &amp; IF(A92&lt;2,"x","")</f>
        <v>pm</v>
      </c>
      <c r="G92" s="420" t="s">
        <v>410</v>
      </c>
      <c r="H92" s="420" t="s">
        <v>411</v>
      </c>
      <c r="I92" s="420" t="s">
        <v>412</v>
      </c>
      <c r="K92" s="421">
        <f>LOOKUP(1E+100,M92:AB92)</f>
        <v>1579.8660708915113</v>
      </c>
      <c r="M92" s="421">
        <v>1600</v>
      </c>
      <c r="P92" s="420">
        <v>1579.8660708915113</v>
      </c>
    </row>
    <row r="93" spans="1:16" x14ac:dyDescent="0.3">
      <c r="A93" s="420">
        <v>6</v>
      </c>
      <c r="C93" s="420">
        <f>IF(E93=E92,C92+1,1)</f>
        <v>34</v>
      </c>
      <c r="D93" s="420">
        <f>IF(K93=K92,D92,C93)</f>
        <v>34</v>
      </c>
      <c r="E93" s="420">
        <f>10+VALUE(RIGHT(LEFT(G93,3),1))</f>
        <v>13</v>
      </c>
      <c r="F93" s="420" t="str">
        <f>RIGHT(G93,2) &amp; IF(A93&lt;2,"x","")</f>
        <v>pm</v>
      </c>
      <c r="G93" s="420" t="s">
        <v>432</v>
      </c>
      <c r="H93" s="420" t="s">
        <v>288</v>
      </c>
      <c r="I93" s="420" t="s">
        <v>433</v>
      </c>
      <c r="K93" s="421">
        <f>LOOKUP(1E+100,M93:AB93)</f>
        <v>1573.3453296849921</v>
      </c>
      <c r="M93" s="421">
        <v>1600</v>
      </c>
      <c r="P93" s="420">
        <v>1573.3453296849921</v>
      </c>
    </row>
    <row r="94" spans="1:16" x14ac:dyDescent="0.3">
      <c r="A94" s="420">
        <v>4</v>
      </c>
      <c r="C94" s="420">
        <f>IF(E94=E93,C93+1,1)</f>
        <v>35</v>
      </c>
      <c r="D94" s="420">
        <f>IF(K94=K93,D93,C94)</f>
        <v>35</v>
      </c>
      <c r="E94" s="420">
        <f>10+VALUE(RIGHT(LEFT(G94,3),1))</f>
        <v>13</v>
      </c>
      <c r="F94" s="420" t="str">
        <f>RIGHT(G94,2) &amp; IF(A94&lt;2,"x","")</f>
        <v>pm</v>
      </c>
      <c r="G94" s="420" t="s">
        <v>408</v>
      </c>
      <c r="H94" s="420" t="s">
        <v>261</v>
      </c>
      <c r="I94" s="420" t="s">
        <v>409</v>
      </c>
      <c r="K94" s="421">
        <f>LOOKUP(1E+100,M94:AB94)</f>
        <v>1547.9196897344852</v>
      </c>
      <c r="M94" s="421">
        <v>1600</v>
      </c>
      <c r="P94" s="420">
        <v>1547.9196897344852</v>
      </c>
    </row>
    <row r="95" spans="1:16" x14ac:dyDescent="0.3">
      <c r="A95" s="420">
        <v>6</v>
      </c>
      <c r="C95" s="420">
        <f>IF(E95=E94,C94+1,1)</f>
        <v>36</v>
      </c>
      <c r="D95" s="420">
        <f>IF(K95=K94,D94,C95)</f>
        <v>36</v>
      </c>
      <c r="E95" s="420">
        <f>10+VALUE(RIGHT(LEFT(G95,3),1))</f>
        <v>13</v>
      </c>
      <c r="F95" s="420" t="str">
        <f>RIGHT(G95,2) &amp; IF(A95&lt;2,"x","")</f>
        <v>pm</v>
      </c>
      <c r="G95" s="420" t="s">
        <v>418</v>
      </c>
      <c r="H95" s="420" t="s">
        <v>224</v>
      </c>
      <c r="I95" s="420" t="s">
        <v>419</v>
      </c>
      <c r="K95" s="421">
        <f>LOOKUP(1E+100,M95:AB95)</f>
        <v>1533.7444995390174</v>
      </c>
      <c r="M95" s="421">
        <v>1600</v>
      </c>
      <c r="P95" s="420">
        <v>1533.7444995390174</v>
      </c>
    </row>
    <row r="96" spans="1:16" x14ac:dyDescent="0.3">
      <c r="A96" s="420">
        <v>5</v>
      </c>
      <c r="C96" s="420">
        <f>IF(E96=E95,C95+1,1)</f>
        <v>37</v>
      </c>
      <c r="D96" s="420">
        <f>IF(K96=K95,D95,C96)</f>
        <v>37</v>
      </c>
      <c r="E96" s="420">
        <f>10+VALUE(RIGHT(LEFT(G96,3),1))</f>
        <v>13</v>
      </c>
      <c r="F96" s="420" t="str">
        <f>RIGHT(G96,2) &amp; IF(A96&lt;2,"x","")</f>
        <v>pm</v>
      </c>
      <c r="G96" s="420" t="s">
        <v>436</v>
      </c>
      <c r="H96" s="420" t="s">
        <v>437</v>
      </c>
      <c r="I96" s="420" t="s">
        <v>438</v>
      </c>
      <c r="K96" s="421">
        <f>LOOKUP(1E+100,M96:AB96)</f>
        <v>1519.0582184667064</v>
      </c>
      <c r="M96" s="421">
        <v>1600</v>
      </c>
      <c r="P96" s="420">
        <v>1519.0582184667064</v>
      </c>
    </row>
    <row r="97" spans="1:16" x14ac:dyDescent="0.3">
      <c r="A97" s="420">
        <v>6</v>
      </c>
      <c r="C97" s="420">
        <f>IF(E97=E96,C96+1,1)</f>
        <v>38</v>
      </c>
      <c r="D97" s="420">
        <f>IF(K97=K96,D96,C97)</f>
        <v>38</v>
      </c>
      <c r="E97" s="420">
        <f>10+VALUE(RIGHT(LEFT(G97,3),1))</f>
        <v>13</v>
      </c>
      <c r="F97" s="420" t="str">
        <f>RIGHT(G97,2) &amp; IF(A97&lt;2,"x","")</f>
        <v>pm</v>
      </c>
      <c r="G97" s="420" t="s">
        <v>434</v>
      </c>
      <c r="H97" s="420" t="s">
        <v>288</v>
      </c>
      <c r="I97" s="420" t="s">
        <v>435</v>
      </c>
      <c r="K97" s="421">
        <f>LOOKUP(1E+100,M97:AB97)</f>
        <v>1517.3416472478507</v>
      </c>
      <c r="M97" s="421">
        <v>1600</v>
      </c>
      <c r="P97" s="420">
        <v>1517.3416472478507</v>
      </c>
    </row>
    <row r="98" spans="1:16" x14ac:dyDescent="0.3">
      <c r="A98" s="420">
        <v>7</v>
      </c>
      <c r="C98" s="420">
        <f>IF(E98=E97,C97+1,1)</f>
        <v>39</v>
      </c>
      <c r="D98" s="420">
        <f>IF(K98=K97,D97,C98)</f>
        <v>39</v>
      </c>
      <c r="E98" s="420">
        <f>10+VALUE(RIGHT(LEFT(G98,3),1))</f>
        <v>13</v>
      </c>
      <c r="F98" s="420" t="str">
        <f>RIGHT(G98,2) &amp; IF(A98&lt;2,"x","")</f>
        <v>pm</v>
      </c>
      <c r="G98" s="420" t="s">
        <v>415</v>
      </c>
      <c r="H98" s="420" t="s">
        <v>416</v>
      </c>
      <c r="I98" s="420" t="s">
        <v>417</v>
      </c>
      <c r="K98" s="421">
        <f>LOOKUP(1E+100,M98:AB98)</f>
        <v>1451.1605393968732</v>
      </c>
      <c r="M98" s="421">
        <v>1600</v>
      </c>
      <c r="N98" s="420">
        <v>1534.3498710699218</v>
      </c>
      <c r="P98" s="420">
        <v>1451.1605393968732</v>
      </c>
    </row>
    <row r="99" spans="1:16" x14ac:dyDescent="0.3">
      <c r="A99" s="420">
        <v>3</v>
      </c>
      <c r="C99" s="420">
        <f>IF(E99=E98,C98+1,1)</f>
        <v>1</v>
      </c>
      <c r="D99" s="420">
        <f>IF(K99=K98,D98,C99)</f>
        <v>1</v>
      </c>
      <c r="E99" s="420">
        <f>10+VALUE(RIGHT(LEFT(G99,3),1))</f>
        <v>14</v>
      </c>
      <c r="F99" s="420" t="str">
        <f>RIGHT(G99,2) &amp; IF(A99&lt;2,"x","")</f>
        <v>pm</v>
      </c>
      <c r="G99" s="420" t="s">
        <v>505</v>
      </c>
      <c r="H99" s="420" t="s">
        <v>243</v>
      </c>
      <c r="I99" s="420" t="s">
        <v>506</v>
      </c>
      <c r="K99" s="421">
        <f>LOOKUP(1E+100,M99:AB99)</f>
        <v>2326.5309750174952</v>
      </c>
      <c r="M99" s="421">
        <v>2200</v>
      </c>
      <c r="N99" s="420">
        <v>2326.5309750174952</v>
      </c>
    </row>
    <row r="100" spans="1:16" x14ac:dyDescent="0.3">
      <c r="A100" s="420">
        <v>5</v>
      </c>
      <c r="C100" s="420">
        <f>IF(E100=E99,C99+1,1)</f>
        <v>2</v>
      </c>
      <c r="D100" s="420">
        <f>IF(K100=K99,D99,C100)</f>
        <v>2</v>
      </c>
      <c r="E100" s="420">
        <f>10+VALUE(RIGHT(LEFT(G100,3),1))</f>
        <v>14</v>
      </c>
      <c r="F100" s="420" t="str">
        <f>RIGHT(G100,2) &amp; IF(A100&lt;2,"x","")</f>
        <v>pm</v>
      </c>
      <c r="G100" s="420" t="s">
        <v>507</v>
      </c>
      <c r="H100" s="420" t="s">
        <v>261</v>
      </c>
      <c r="I100" s="420" t="s">
        <v>508</v>
      </c>
      <c r="K100" s="421">
        <f>LOOKUP(1E+100,M100:AB100)</f>
        <v>2278.4525646033417</v>
      </c>
      <c r="M100" s="421">
        <v>2200</v>
      </c>
      <c r="P100" s="420">
        <v>2278.4525646033417</v>
      </c>
    </row>
    <row r="101" spans="1:16" x14ac:dyDescent="0.3">
      <c r="A101" s="420">
        <v>4</v>
      </c>
      <c r="C101" s="420">
        <f>IF(E101=E100,C100+1,1)</f>
        <v>3</v>
      </c>
      <c r="D101" s="420">
        <f>IF(K101=K100,D100,C101)</f>
        <v>3</v>
      </c>
      <c r="E101" s="420">
        <f>10+VALUE(RIGHT(LEFT(G101,3),1))</f>
        <v>14</v>
      </c>
      <c r="F101" s="420" t="str">
        <f>RIGHT(G101,2) &amp; IF(A101&lt;2,"x","")</f>
        <v>pm</v>
      </c>
      <c r="G101" s="420" t="s">
        <v>476</v>
      </c>
      <c r="H101" s="420" t="s">
        <v>215</v>
      </c>
      <c r="I101" s="420" t="s">
        <v>477</v>
      </c>
      <c r="K101" s="421">
        <f>LOOKUP(1E+100,M101:AB101)</f>
        <v>2252.1735845054504</v>
      </c>
      <c r="M101" s="421">
        <v>2200</v>
      </c>
      <c r="P101" s="420">
        <v>2252.1735845054504</v>
      </c>
    </row>
    <row r="102" spans="1:16" x14ac:dyDescent="0.3">
      <c r="A102" s="420">
        <v>4</v>
      </c>
      <c r="C102" s="420">
        <f>IF(E102=E101,C101+1,1)</f>
        <v>4</v>
      </c>
      <c r="D102" s="420">
        <f>IF(K102=K101,D101,C102)</f>
        <v>4</v>
      </c>
      <c r="E102" s="420">
        <f>10+VALUE(RIGHT(LEFT(G102,3),1))</f>
        <v>14</v>
      </c>
      <c r="F102" s="420" t="str">
        <f>RIGHT(G102,2) &amp; IF(A102&lt;2,"x","")</f>
        <v>pm</v>
      </c>
      <c r="G102" s="420" t="s">
        <v>478</v>
      </c>
      <c r="H102" s="420" t="s">
        <v>215</v>
      </c>
      <c r="I102" s="420" t="s">
        <v>479</v>
      </c>
      <c r="K102" s="421">
        <f>LOOKUP(1E+100,M102:AB102)</f>
        <v>2244.6644171731336</v>
      </c>
      <c r="M102" s="421">
        <v>2200</v>
      </c>
      <c r="P102" s="420">
        <v>2244.6644171731336</v>
      </c>
    </row>
    <row r="103" spans="1:16" x14ac:dyDescent="0.3">
      <c r="A103" s="420">
        <v>6</v>
      </c>
      <c r="C103" s="420">
        <f>IF(E103=E102,C102+1,1)</f>
        <v>5</v>
      </c>
      <c r="D103" s="420">
        <f>IF(K103=K102,D102,C103)</f>
        <v>5</v>
      </c>
      <c r="E103" s="420">
        <f>10+VALUE(RIGHT(LEFT(G103,3),1))</f>
        <v>14</v>
      </c>
      <c r="F103" s="420" t="str">
        <f>RIGHT(G103,2) &amp; IF(A103&lt;2,"x","")</f>
        <v>pm</v>
      </c>
      <c r="G103" s="420" t="s">
        <v>465</v>
      </c>
      <c r="H103" s="420" t="s">
        <v>466</v>
      </c>
      <c r="I103" s="420" t="s">
        <v>467</v>
      </c>
      <c r="K103" s="421">
        <f>LOOKUP(1E+100,M103:AB103)</f>
        <v>2241.891408622294</v>
      </c>
      <c r="M103" s="421">
        <v>2200</v>
      </c>
      <c r="O103" s="420">
        <v>2269.3527841117907</v>
      </c>
      <c r="P103" s="420">
        <v>2241.891408622294</v>
      </c>
    </row>
    <row r="104" spans="1:16" x14ac:dyDescent="0.3">
      <c r="A104" s="420">
        <v>4</v>
      </c>
      <c r="C104" s="420">
        <f>IF(E104=E103,C103+1,1)</f>
        <v>6</v>
      </c>
      <c r="D104" s="420">
        <f>IF(K104=K103,D103,C104)</f>
        <v>6</v>
      </c>
      <c r="E104" s="420">
        <f>10+VALUE(RIGHT(LEFT(G104,3),1))</f>
        <v>14</v>
      </c>
      <c r="F104" s="420" t="str">
        <f>RIGHT(G104,2) &amp; IF(A104&lt;2,"x","")</f>
        <v>pm</v>
      </c>
      <c r="G104" s="420" t="s">
        <v>521</v>
      </c>
      <c r="H104" s="420" t="s">
        <v>522</v>
      </c>
      <c r="I104" s="420" t="s">
        <v>523</v>
      </c>
      <c r="K104" s="421">
        <f>LOOKUP(1E+100,M104:AB104)</f>
        <v>2214.8101428000855</v>
      </c>
      <c r="M104" s="421">
        <v>2100</v>
      </c>
      <c r="N104" s="420">
        <v>2174.2197512125058</v>
      </c>
      <c r="P104" s="420">
        <v>2214.8101428000855</v>
      </c>
    </row>
    <row r="105" spans="1:16" x14ac:dyDescent="0.3">
      <c r="A105" s="420">
        <v>3</v>
      </c>
      <c r="C105" s="420">
        <f>IF(E105=E104,C104+1,1)</f>
        <v>7</v>
      </c>
      <c r="D105" s="420">
        <f>IF(K105=K104,D104,C105)</f>
        <v>7</v>
      </c>
      <c r="E105" s="420">
        <f>10+VALUE(RIGHT(LEFT(G105,3),1))</f>
        <v>14</v>
      </c>
      <c r="F105" s="420" t="str">
        <f>RIGHT(G105,2) &amp; IF(A105&lt;2,"x","")</f>
        <v>pm</v>
      </c>
      <c r="G105" s="420" t="s">
        <v>461</v>
      </c>
      <c r="H105" s="420" t="s">
        <v>256</v>
      </c>
      <c r="I105" s="420" t="s">
        <v>462</v>
      </c>
      <c r="K105" s="421">
        <f>LOOKUP(1E+100,M105:AB105)</f>
        <v>2203.730133714088</v>
      </c>
      <c r="M105" s="421">
        <v>2200</v>
      </c>
      <c r="O105" s="420">
        <v>2186.0000721639085</v>
      </c>
      <c r="P105" s="420">
        <v>2203.730133714088</v>
      </c>
    </row>
    <row r="106" spans="1:16" x14ac:dyDescent="0.3">
      <c r="A106" s="420">
        <v>2</v>
      </c>
      <c r="C106" s="420">
        <f>IF(E106=E105,C105+1,1)</f>
        <v>8</v>
      </c>
      <c r="D106" s="420">
        <f>IF(K106=K105,D105,C106)</f>
        <v>8</v>
      </c>
      <c r="E106" s="420">
        <f>10+VALUE(RIGHT(LEFT(G106,3),1))</f>
        <v>14</v>
      </c>
      <c r="F106" s="420" t="str">
        <f>RIGHT(G106,2) &amp; IF(A106&lt;2,"x","")</f>
        <v>pm</v>
      </c>
      <c r="G106" s="420" t="s">
        <v>468</v>
      </c>
      <c r="H106" s="420" t="s">
        <v>349</v>
      </c>
      <c r="I106" s="420" t="s">
        <v>469</v>
      </c>
      <c r="K106" s="421">
        <f>LOOKUP(1E+100,M106:AB106)</f>
        <v>2200</v>
      </c>
      <c r="M106" s="421">
        <v>2200</v>
      </c>
    </row>
    <row r="107" spans="1:16" x14ac:dyDescent="0.3">
      <c r="A107" s="420">
        <v>2</v>
      </c>
      <c r="C107" s="420">
        <f>IF(E107=E106,C106+1,1)</f>
        <v>9</v>
      </c>
      <c r="D107" s="420">
        <f>IF(K107=K106,D106,C107)</f>
        <v>8</v>
      </c>
      <c r="E107" s="420">
        <f>10+VALUE(RIGHT(LEFT(G107,3),1))</f>
        <v>14</v>
      </c>
      <c r="F107" s="420" t="str">
        <f>RIGHT(G107,2) &amp; IF(A107&lt;2,"x","")</f>
        <v>pm</v>
      </c>
      <c r="G107" s="420" t="s">
        <v>470</v>
      </c>
      <c r="H107" s="420" t="s">
        <v>352</v>
      </c>
      <c r="I107" s="420" t="s">
        <v>471</v>
      </c>
      <c r="K107" s="421">
        <f>LOOKUP(1E+100,M107:AB107)</f>
        <v>2200</v>
      </c>
      <c r="M107" s="421">
        <v>2200</v>
      </c>
    </row>
    <row r="108" spans="1:16" x14ac:dyDescent="0.3">
      <c r="A108" s="420">
        <v>5</v>
      </c>
      <c r="C108" s="420">
        <f>IF(E108=E107,C107+1,1)</f>
        <v>10</v>
      </c>
      <c r="D108" s="420">
        <f>IF(K108=K107,D107,C108)</f>
        <v>8</v>
      </c>
      <c r="E108" s="420">
        <f>10+VALUE(RIGHT(LEFT(G108,3),1))</f>
        <v>14</v>
      </c>
      <c r="F108" s="420" t="str">
        <f>RIGHT(G108,2) &amp; IF(A108&lt;2,"x","")</f>
        <v>pm</v>
      </c>
      <c r="G108" s="420" t="s">
        <v>484</v>
      </c>
      <c r="H108" s="420" t="s">
        <v>288</v>
      </c>
      <c r="I108" s="420" t="s">
        <v>485</v>
      </c>
      <c r="K108" s="421">
        <f>LOOKUP(1E+100,M108:AB108)</f>
        <v>2200</v>
      </c>
      <c r="M108" s="421">
        <v>2200</v>
      </c>
    </row>
    <row r="109" spans="1:16" x14ac:dyDescent="0.3">
      <c r="A109" s="420">
        <v>5</v>
      </c>
      <c r="C109" s="420">
        <f>IF(E109=E108,C108+1,1)</f>
        <v>11</v>
      </c>
      <c r="D109" s="420">
        <f>IF(K109=K108,D108,C109)</f>
        <v>8</v>
      </c>
      <c r="E109" s="420">
        <f>10+VALUE(RIGHT(LEFT(G109,3),1))</f>
        <v>14</v>
      </c>
      <c r="F109" s="420" t="str">
        <f>RIGHT(G109,2) &amp; IF(A109&lt;2,"x","")</f>
        <v>pm</v>
      </c>
      <c r="G109" s="420" t="s">
        <v>486</v>
      </c>
      <c r="H109" s="420" t="s">
        <v>288</v>
      </c>
      <c r="I109" s="420" t="s">
        <v>487</v>
      </c>
      <c r="K109" s="421">
        <f>LOOKUP(1E+100,M109:AB109)</f>
        <v>2200</v>
      </c>
      <c r="M109" s="421">
        <v>2200</v>
      </c>
    </row>
    <row r="110" spans="1:16" x14ac:dyDescent="0.3">
      <c r="A110" s="420">
        <v>2</v>
      </c>
      <c r="C110" s="420">
        <f>IF(E110=E109,C109+1,1)</f>
        <v>12</v>
      </c>
      <c r="D110" s="420">
        <f>IF(K110=K109,D109,C110)</f>
        <v>8</v>
      </c>
      <c r="E110" s="420">
        <f>10+VALUE(RIGHT(LEFT(G110,3),1))</f>
        <v>14</v>
      </c>
      <c r="F110" s="420" t="str">
        <f>RIGHT(G110,2) &amp; IF(A110&lt;2,"x","")</f>
        <v>pm</v>
      </c>
      <c r="G110" s="420" t="s">
        <v>488</v>
      </c>
      <c r="H110" s="420" t="s">
        <v>288</v>
      </c>
      <c r="I110" s="420" t="s">
        <v>489</v>
      </c>
      <c r="K110" s="421">
        <f>LOOKUP(1E+100,M110:AB110)</f>
        <v>2200</v>
      </c>
      <c r="M110" s="421">
        <v>2200</v>
      </c>
    </row>
    <row r="111" spans="1:16" x14ac:dyDescent="0.3">
      <c r="A111" s="420">
        <v>3</v>
      </c>
      <c r="C111" s="420">
        <f>IF(E111=E110,C110+1,1)</f>
        <v>13</v>
      </c>
      <c r="D111" s="420">
        <f>IF(K111=K110,D110,C111)</f>
        <v>8</v>
      </c>
      <c r="E111" s="420">
        <f>10+VALUE(RIGHT(LEFT(G111,3),1))</f>
        <v>14</v>
      </c>
      <c r="F111" s="420" t="str">
        <f>RIGHT(G111,2) &amp; IF(A111&lt;2,"x","")</f>
        <v>pm</v>
      </c>
      <c r="G111" s="420" t="s">
        <v>482</v>
      </c>
      <c r="H111" s="420" t="s">
        <v>283</v>
      </c>
      <c r="I111" s="420" t="s">
        <v>483</v>
      </c>
      <c r="K111" s="421">
        <f>LOOKUP(1E+100,M111:AB111)</f>
        <v>2200</v>
      </c>
      <c r="M111" s="421">
        <v>2200</v>
      </c>
    </row>
    <row r="112" spans="1:16" x14ac:dyDescent="0.3">
      <c r="A112" s="420">
        <v>2</v>
      </c>
      <c r="C112" s="420">
        <f>IF(E112=E111,C111+1,1)</f>
        <v>14</v>
      </c>
      <c r="D112" s="420">
        <f>IF(K112=K111,D111,C112)</f>
        <v>8</v>
      </c>
      <c r="E112" s="420">
        <f>10+VALUE(RIGHT(LEFT(G112,3),1))</f>
        <v>14</v>
      </c>
      <c r="F112" s="420" t="str">
        <f>RIGHT(G112,2) &amp; IF(A112&lt;2,"x","")</f>
        <v>pm</v>
      </c>
      <c r="G112" s="420" t="s">
        <v>493</v>
      </c>
      <c r="H112" s="420" t="s">
        <v>227</v>
      </c>
      <c r="I112" s="420" t="s">
        <v>494</v>
      </c>
      <c r="K112" s="421">
        <f>LOOKUP(1E+100,M112:AB112)</f>
        <v>2200</v>
      </c>
      <c r="M112" s="421">
        <v>2200</v>
      </c>
    </row>
    <row r="113" spans="1:16" x14ac:dyDescent="0.3">
      <c r="A113" s="420">
        <v>3</v>
      </c>
      <c r="C113" s="420">
        <f>IF(E113=E112,C112+1,1)</f>
        <v>15</v>
      </c>
      <c r="D113" s="420">
        <f>IF(K113=K112,D112,C113)</f>
        <v>8</v>
      </c>
      <c r="E113" s="420">
        <f>10+VALUE(RIGHT(LEFT(G113,3),1))</f>
        <v>14</v>
      </c>
      <c r="F113" s="420" t="str">
        <f>RIGHT(G113,2) &amp; IF(A113&lt;2,"x","")</f>
        <v>pm</v>
      </c>
      <c r="G113" s="420" t="s">
        <v>495</v>
      </c>
      <c r="H113" s="420" t="s">
        <v>221</v>
      </c>
      <c r="I113" s="420" t="s">
        <v>496</v>
      </c>
      <c r="K113" s="421">
        <f>LOOKUP(1E+100,M113:AB113)</f>
        <v>2200</v>
      </c>
      <c r="M113" s="421">
        <v>2200</v>
      </c>
    </row>
    <row r="114" spans="1:16" x14ac:dyDescent="0.3">
      <c r="A114" s="420">
        <v>3</v>
      </c>
      <c r="C114" s="420">
        <f>IF(E114=E113,C113+1,1)</f>
        <v>16</v>
      </c>
      <c r="D114" s="420">
        <f>IF(K114=K113,D113,C114)</f>
        <v>16</v>
      </c>
      <c r="E114" s="420">
        <f>10+VALUE(RIGHT(LEFT(G114,3),1))</f>
        <v>14</v>
      </c>
      <c r="F114" s="420" t="str">
        <f>RIGHT(G114,2) &amp; IF(A114&lt;2,"x","")</f>
        <v>pm</v>
      </c>
      <c r="G114" s="420" t="s">
        <v>517</v>
      </c>
      <c r="H114" s="420" t="s">
        <v>318</v>
      </c>
      <c r="I114" s="420" t="s">
        <v>518</v>
      </c>
      <c r="K114" s="421">
        <f>LOOKUP(1E+100,M114:AB114)</f>
        <v>2197.4041119202066</v>
      </c>
      <c r="M114" s="421">
        <v>2133.3333333333335</v>
      </c>
      <c r="N114" s="420">
        <v>2197.4041119202066</v>
      </c>
    </row>
    <row r="115" spans="1:16" x14ac:dyDescent="0.3">
      <c r="A115" s="420">
        <v>5</v>
      </c>
      <c r="C115" s="420">
        <f>IF(E115=E114,C114+1,1)</f>
        <v>17</v>
      </c>
      <c r="D115" s="420">
        <f>IF(K115=K114,D114,C115)</f>
        <v>17</v>
      </c>
      <c r="E115" s="420">
        <f>10+VALUE(RIGHT(LEFT(G115,3),1))</f>
        <v>14</v>
      </c>
      <c r="F115" s="420" t="str">
        <f>RIGHT(G115,2) &amp; IF(A115&lt;2,"x","")</f>
        <v>pm</v>
      </c>
      <c r="G115" s="420" t="s">
        <v>511</v>
      </c>
      <c r="H115" s="420" t="s">
        <v>224</v>
      </c>
      <c r="I115" s="420" t="s">
        <v>512</v>
      </c>
      <c r="K115" s="421">
        <f>LOOKUP(1E+100,M115:AB115)</f>
        <v>2157.0688207251719</v>
      </c>
      <c r="M115" s="421">
        <v>2160</v>
      </c>
      <c r="P115" s="420">
        <v>2157.0688207251719</v>
      </c>
    </row>
    <row r="116" spans="1:16" x14ac:dyDescent="0.3">
      <c r="A116" s="420">
        <v>4</v>
      </c>
      <c r="C116" s="420">
        <f>IF(E116=E115,C115+1,1)</f>
        <v>18</v>
      </c>
      <c r="D116" s="420">
        <f>IF(K116=K115,D115,C116)</f>
        <v>18</v>
      </c>
      <c r="E116" s="420">
        <f>10+VALUE(RIGHT(LEFT(G116,3),1))</f>
        <v>14</v>
      </c>
      <c r="F116" s="420" t="str">
        <f>RIGHT(G116,2) &amp; IF(A116&lt;2,"x","")</f>
        <v>pm</v>
      </c>
      <c r="G116" s="420" t="s">
        <v>457</v>
      </c>
      <c r="H116" s="420" t="s">
        <v>243</v>
      </c>
      <c r="I116" s="420" t="s">
        <v>458</v>
      </c>
      <c r="K116" s="421">
        <f>LOOKUP(1E+100,M116:AB116)</f>
        <v>2156.4076860800524</v>
      </c>
      <c r="M116" s="421">
        <v>2200</v>
      </c>
      <c r="P116" s="420">
        <v>2156.4076860800524</v>
      </c>
    </row>
    <row r="117" spans="1:16" x14ac:dyDescent="0.3">
      <c r="A117" s="420">
        <v>4</v>
      </c>
      <c r="C117" s="420">
        <f>IF(E117=E116,C116+1,1)</f>
        <v>19</v>
      </c>
      <c r="D117" s="420">
        <f>IF(K117=K116,D116,C117)</f>
        <v>19</v>
      </c>
      <c r="E117" s="420">
        <f>10+VALUE(RIGHT(LEFT(G117,3),1))</f>
        <v>14</v>
      </c>
      <c r="F117" s="420" t="str">
        <f>RIGHT(G117,2) &amp; IF(A117&lt;2,"x","")</f>
        <v>pm</v>
      </c>
      <c r="G117" s="420" t="s">
        <v>455</v>
      </c>
      <c r="H117" s="420" t="s">
        <v>243</v>
      </c>
      <c r="I117" s="420" t="s">
        <v>456</v>
      </c>
      <c r="K117" s="421">
        <f>LOOKUP(1E+100,M117:AB117)</f>
        <v>2151.3312763980157</v>
      </c>
      <c r="M117" s="421">
        <v>2200</v>
      </c>
      <c r="P117" s="420">
        <v>2151.3312763980157</v>
      </c>
    </row>
    <row r="118" spans="1:16" x14ac:dyDescent="0.3">
      <c r="A118" s="420">
        <v>4</v>
      </c>
      <c r="C118" s="420">
        <f>IF(E118=E117,C117+1,1)</f>
        <v>20</v>
      </c>
      <c r="D118" s="420">
        <f>IF(K118=K117,D117,C118)</f>
        <v>20</v>
      </c>
      <c r="E118" s="420">
        <f>10+VALUE(RIGHT(LEFT(G118,3),1))</f>
        <v>14</v>
      </c>
      <c r="F118" s="420" t="str">
        <f>RIGHT(G118,2) &amp; IF(A118&lt;2,"x","")</f>
        <v>pm</v>
      </c>
      <c r="G118" s="420" t="s">
        <v>480</v>
      </c>
      <c r="H118" s="420" t="s">
        <v>215</v>
      </c>
      <c r="I118" s="420" t="s">
        <v>481</v>
      </c>
      <c r="K118" s="421">
        <f>LOOKUP(1E+100,M118:AB118)</f>
        <v>2134.2419780029754</v>
      </c>
      <c r="M118" s="421">
        <v>2200</v>
      </c>
      <c r="P118" s="420">
        <v>2134.2419780029754</v>
      </c>
    </row>
    <row r="119" spans="1:16" x14ac:dyDescent="0.3">
      <c r="A119" s="420">
        <v>7</v>
      </c>
      <c r="C119" s="420">
        <f>IF(E119=E118,C118+1,1)</f>
        <v>21</v>
      </c>
      <c r="D119" s="420">
        <f>IF(K119=K118,D118,C119)</f>
        <v>21</v>
      </c>
      <c r="E119" s="420">
        <f>10+VALUE(RIGHT(LEFT(G119,3),1))</f>
        <v>14</v>
      </c>
      <c r="F119" s="420" t="str">
        <f>RIGHT(G119,2) &amp; IF(A119&lt;2,"x","")</f>
        <v>pm</v>
      </c>
      <c r="G119" s="420" t="s">
        <v>513</v>
      </c>
      <c r="H119" s="420" t="s">
        <v>224</v>
      </c>
      <c r="I119" s="420" t="s">
        <v>514</v>
      </c>
      <c r="K119" s="421">
        <f>LOOKUP(1E+100,M119:AB119)</f>
        <v>2119.2988049542182</v>
      </c>
      <c r="M119" s="421">
        <v>2142.8571428571427</v>
      </c>
      <c r="O119" s="420">
        <v>2124.8136406435256</v>
      </c>
      <c r="P119" s="420">
        <v>2119.2988049542182</v>
      </c>
    </row>
    <row r="120" spans="1:16" x14ac:dyDescent="0.3">
      <c r="A120" s="420">
        <v>6</v>
      </c>
      <c r="C120" s="420">
        <f>IF(E120=E119,C119+1,1)</f>
        <v>22</v>
      </c>
      <c r="D120" s="420">
        <f>IF(K120=K119,D119,C120)</f>
        <v>22</v>
      </c>
      <c r="E120" s="420">
        <f>10+VALUE(RIGHT(LEFT(G120,3),1))</f>
        <v>14</v>
      </c>
      <c r="F120" s="420" t="str">
        <f>RIGHT(G120,2) &amp; IF(A120&lt;2,"x","")</f>
        <v>pm</v>
      </c>
      <c r="G120" s="420" t="s">
        <v>519</v>
      </c>
      <c r="H120" s="420" t="s">
        <v>224</v>
      </c>
      <c r="I120" s="420" t="s">
        <v>520</v>
      </c>
      <c r="K120" s="421">
        <f>LOOKUP(1E+100,M120:AB120)</f>
        <v>2086.4490895334916</v>
      </c>
      <c r="M120" s="421">
        <v>2133.3333333333335</v>
      </c>
      <c r="O120" s="420">
        <v>2086.4490895334916</v>
      </c>
    </row>
    <row r="121" spans="1:16" x14ac:dyDescent="0.3">
      <c r="A121" s="420">
        <v>2</v>
      </c>
      <c r="C121" s="420">
        <f>IF(E121=E120,C120+1,1)</f>
        <v>23</v>
      </c>
      <c r="D121" s="420">
        <f>IF(K121=K120,D120,C121)</f>
        <v>23</v>
      </c>
      <c r="E121" s="420">
        <f>10+VALUE(RIGHT(LEFT(G121,3),1))</f>
        <v>14</v>
      </c>
      <c r="F121" s="420" t="str">
        <f>RIGHT(G121,2) &amp; IF(A121&lt;2,"x","")</f>
        <v>pm</v>
      </c>
      <c r="G121" s="420" t="s">
        <v>490</v>
      </c>
      <c r="H121" s="420" t="s">
        <v>491</v>
      </c>
      <c r="I121" s="420" t="s">
        <v>492</v>
      </c>
      <c r="K121" s="421">
        <f>LOOKUP(1E+100,M121:AB121)</f>
        <v>2073.5421959918044</v>
      </c>
      <c r="M121" s="421">
        <v>2200</v>
      </c>
      <c r="P121" s="420">
        <v>2073.5421959918044</v>
      </c>
    </row>
    <row r="122" spans="1:16" x14ac:dyDescent="0.3">
      <c r="A122" s="420">
        <v>5</v>
      </c>
      <c r="C122" s="420">
        <f>IF(E122=E121,C121+1,1)</f>
        <v>24</v>
      </c>
      <c r="D122" s="420">
        <f>IF(K122=K121,D121,C122)</f>
        <v>24</v>
      </c>
      <c r="E122" s="420">
        <f>10+VALUE(RIGHT(LEFT(G122,3),1))</f>
        <v>14</v>
      </c>
      <c r="F122" s="420" t="str">
        <f>RIGHT(G122,2) &amp; IF(A122&lt;2,"x","")</f>
        <v>pm</v>
      </c>
      <c r="G122" s="420" t="s">
        <v>463</v>
      </c>
      <c r="H122" s="420" t="s">
        <v>224</v>
      </c>
      <c r="I122" s="420" t="s">
        <v>464</v>
      </c>
      <c r="K122" s="421">
        <f>LOOKUP(1E+100,M122:AB122)</f>
        <v>2053.0946682245371</v>
      </c>
      <c r="M122" s="421">
        <v>2200</v>
      </c>
      <c r="O122" s="420">
        <v>2053.0946682245371</v>
      </c>
    </row>
    <row r="123" spans="1:16" x14ac:dyDescent="0.3">
      <c r="A123" s="420">
        <v>2</v>
      </c>
      <c r="C123" s="420">
        <f>IF(E123=E122,C122+1,1)</f>
        <v>25</v>
      </c>
      <c r="D123" s="420">
        <f>IF(K123=K122,D122,C123)</f>
        <v>25</v>
      </c>
      <c r="E123" s="420">
        <f>10+VALUE(RIGHT(LEFT(G123,3),1))</f>
        <v>14</v>
      </c>
      <c r="F123" s="420" t="str">
        <f>RIGHT(G123,2) &amp; IF(A123&lt;2,"x","")</f>
        <v>pm</v>
      </c>
      <c r="G123" s="420" t="s">
        <v>524</v>
      </c>
      <c r="H123" s="420" t="s">
        <v>215</v>
      </c>
      <c r="I123" s="420" t="s">
        <v>525</v>
      </c>
      <c r="K123" s="421">
        <f>LOOKUP(1E+100,M123:AB123)</f>
        <v>2049.1781545895406</v>
      </c>
      <c r="M123" s="421">
        <v>2000</v>
      </c>
      <c r="P123" s="420">
        <v>2049.1781545895406</v>
      </c>
    </row>
    <row r="124" spans="1:16" x14ac:dyDescent="0.3">
      <c r="A124" s="420">
        <v>6</v>
      </c>
      <c r="C124" s="420">
        <f>IF(E124=E123,C123+1,1)</f>
        <v>26</v>
      </c>
      <c r="D124" s="420">
        <f>IF(K124=K123,D123,C124)</f>
        <v>26</v>
      </c>
      <c r="E124" s="420">
        <f>10+VALUE(RIGHT(LEFT(G124,3),1))</f>
        <v>14</v>
      </c>
      <c r="F124" s="420" t="str">
        <f>RIGHT(G124,2) &amp; IF(A124&lt;2,"x","")</f>
        <v>pm</v>
      </c>
      <c r="G124" s="420" t="s">
        <v>515</v>
      </c>
      <c r="H124" s="420" t="s">
        <v>261</v>
      </c>
      <c r="I124" s="420" t="s">
        <v>516</v>
      </c>
      <c r="K124" s="421">
        <f>LOOKUP(1E+100,M124:AB124)</f>
        <v>2028.2185977183215</v>
      </c>
      <c r="M124" s="421">
        <v>2133.3333333333335</v>
      </c>
      <c r="O124" s="420">
        <v>2123.8030060029546</v>
      </c>
      <c r="P124" s="420">
        <v>2028.2185977183215</v>
      </c>
    </row>
    <row r="125" spans="1:16" x14ac:dyDescent="0.3">
      <c r="A125" s="420">
        <v>2</v>
      </c>
      <c r="C125" s="420">
        <f>IF(E125=E124,C124+1,1)</f>
        <v>27</v>
      </c>
      <c r="D125" s="420">
        <f>IF(K125=K124,D124,C125)</f>
        <v>27</v>
      </c>
      <c r="E125" s="420">
        <f>10+VALUE(RIGHT(LEFT(G125,3),1))</f>
        <v>14</v>
      </c>
      <c r="F125" s="420" t="str">
        <f>RIGHT(G125,2) &amp; IF(A125&lt;2,"x","")</f>
        <v>pm</v>
      </c>
      <c r="G125" s="420" t="s">
        <v>529</v>
      </c>
      <c r="H125" s="420" t="s">
        <v>227</v>
      </c>
      <c r="I125" s="420" t="s">
        <v>530</v>
      </c>
      <c r="K125" s="421">
        <f>LOOKUP(1E+100,M125:AB125)</f>
        <v>2000</v>
      </c>
      <c r="M125" s="421">
        <v>2000</v>
      </c>
    </row>
    <row r="126" spans="1:16" x14ac:dyDescent="0.3">
      <c r="A126" s="420">
        <v>6</v>
      </c>
      <c r="C126" s="420">
        <f>IF(E126=E125,C125+1,1)</f>
        <v>28</v>
      </c>
      <c r="D126" s="420">
        <f>IF(K126=K125,D125,C126)</f>
        <v>28</v>
      </c>
      <c r="E126" s="420">
        <f>10+VALUE(RIGHT(LEFT(G126,3),1))</f>
        <v>14</v>
      </c>
      <c r="F126" s="420" t="str">
        <f>RIGHT(G126,2) &amp; IF(A126&lt;2,"x","")</f>
        <v>pm</v>
      </c>
      <c r="G126" s="420" t="s">
        <v>598</v>
      </c>
      <c r="H126" s="420" t="s">
        <v>334</v>
      </c>
      <c r="I126" s="420" t="s">
        <v>599</v>
      </c>
      <c r="K126" s="421">
        <f>LOOKUP(1E+100,M126:AB126)</f>
        <v>1962.7409125642057</v>
      </c>
      <c r="M126" s="421">
        <v>1800</v>
      </c>
      <c r="N126" s="420">
        <v>1880.956617928209</v>
      </c>
      <c r="P126" s="420">
        <v>1962.7409125642057</v>
      </c>
    </row>
    <row r="127" spans="1:16" x14ac:dyDescent="0.3">
      <c r="A127" s="420">
        <v>3</v>
      </c>
      <c r="C127" s="420">
        <f>IF(E127=E126,C126+1,1)</f>
        <v>29</v>
      </c>
      <c r="D127" s="420">
        <f>IF(K127=K126,D126,C127)</f>
        <v>29</v>
      </c>
      <c r="E127" s="420">
        <f>10+VALUE(RIGHT(LEFT(G127,3),1))</f>
        <v>14</v>
      </c>
      <c r="F127" s="420" t="str">
        <f>RIGHT(G127,2) &amp; IF(A127&lt;2,"x","")</f>
        <v>pm</v>
      </c>
      <c r="G127" s="420" t="s">
        <v>543</v>
      </c>
      <c r="H127" s="420" t="s">
        <v>331</v>
      </c>
      <c r="I127" s="420" t="s">
        <v>544</v>
      </c>
      <c r="K127" s="421">
        <f>LOOKUP(1E+100,M127:AB127)</f>
        <v>1925.4284841677352</v>
      </c>
      <c r="M127" s="421">
        <v>1866.6666666666667</v>
      </c>
      <c r="P127" s="420">
        <v>1925.4284841677352</v>
      </c>
    </row>
    <row r="128" spans="1:16" x14ac:dyDescent="0.3">
      <c r="A128" s="420">
        <v>3</v>
      </c>
      <c r="C128" s="420">
        <f>IF(E128=E127,C127+1,1)</f>
        <v>30</v>
      </c>
      <c r="D128" s="420">
        <f>IF(K128=K127,D127,C128)</f>
        <v>30</v>
      </c>
      <c r="E128" s="420">
        <f>10+VALUE(RIGHT(LEFT(G128,3),1))</f>
        <v>14</v>
      </c>
      <c r="F128" s="420" t="str">
        <f>RIGHT(G128,2) &amp; IF(A128&lt;2,"x","")</f>
        <v>pm</v>
      </c>
      <c r="G128" s="420" t="s">
        <v>558</v>
      </c>
      <c r="H128" s="420" t="s">
        <v>243</v>
      </c>
      <c r="I128" s="420" t="s">
        <v>559</v>
      </c>
      <c r="K128" s="421">
        <f>LOOKUP(1E+100,M128:AB128)</f>
        <v>1903.1265717512813</v>
      </c>
      <c r="M128" s="421">
        <v>1800</v>
      </c>
      <c r="N128" s="420">
        <v>1824.4592382938808</v>
      </c>
      <c r="P128" s="420">
        <v>1903.1265717512813</v>
      </c>
    </row>
    <row r="129" spans="1:16" x14ac:dyDescent="0.3">
      <c r="A129" s="420">
        <v>5</v>
      </c>
      <c r="C129" s="420">
        <f>IF(E129=E128,C128+1,1)</f>
        <v>31</v>
      </c>
      <c r="D129" s="420">
        <f>IF(K129=K128,D128,C129)</f>
        <v>31</v>
      </c>
      <c r="E129" s="420">
        <f>10+VALUE(RIGHT(LEFT(G129,3),1))</f>
        <v>14</v>
      </c>
      <c r="F129" s="420" t="str">
        <f>RIGHT(G129,2) &amp; IF(A129&lt;2,"x","")</f>
        <v>pm</v>
      </c>
      <c r="G129" s="420" t="s">
        <v>564</v>
      </c>
      <c r="H129" s="420" t="s">
        <v>256</v>
      </c>
      <c r="I129" s="420" t="s">
        <v>565</v>
      </c>
      <c r="K129" s="421">
        <f>LOOKUP(1E+100,M129:AB129)</f>
        <v>1891.9144582347276</v>
      </c>
      <c r="M129" s="421">
        <v>1800</v>
      </c>
      <c r="N129" s="420">
        <v>1889.3788535790063</v>
      </c>
      <c r="P129" s="420">
        <v>1891.9144582347276</v>
      </c>
    </row>
    <row r="130" spans="1:16" x14ac:dyDescent="0.3">
      <c r="A130" s="420">
        <v>7</v>
      </c>
      <c r="C130" s="420">
        <f>IF(E130=E129,C129+1,1)</f>
        <v>32</v>
      </c>
      <c r="D130" s="420">
        <f>IF(K130=K129,D129,C130)</f>
        <v>32</v>
      </c>
      <c r="E130" s="420">
        <f>10+VALUE(RIGHT(LEFT(G130,3),1))</f>
        <v>14</v>
      </c>
      <c r="F130" s="420" t="str">
        <f>RIGHT(G130,2) &amp; IF(A130&lt;2,"x","")</f>
        <v>pm</v>
      </c>
      <c r="G130" s="420" t="s">
        <v>590</v>
      </c>
      <c r="H130" s="420" t="s">
        <v>278</v>
      </c>
      <c r="I130" s="420" t="s">
        <v>591</v>
      </c>
      <c r="K130" s="421">
        <f>LOOKUP(1E+100,M130:AB130)</f>
        <v>1887.3848284110888</v>
      </c>
      <c r="M130" s="421">
        <v>1800</v>
      </c>
      <c r="N130" s="420">
        <v>1821.545773518581</v>
      </c>
      <c r="P130" s="420">
        <v>1887.3848284110888</v>
      </c>
    </row>
    <row r="131" spans="1:16" x14ac:dyDescent="0.3">
      <c r="A131" s="420">
        <v>4</v>
      </c>
      <c r="C131" s="420">
        <f>IF(E131=E130,C130+1,1)</f>
        <v>33</v>
      </c>
      <c r="D131" s="420">
        <f>IF(K131=K130,D130,C131)</f>
        <v>33</v>
      </c>
      <c r="E131" s="420">
        <f>10+VALUE(RIGHT(LEFT(G131,3),1))</f>
        <v>14</v>
      </c>
      <c r="F131" s="420" t="str">
        <f>RIGHT(G131,2) &amp; IF(A131&lt;2,"x","")</f>
        <v>pm</v>
      </c>
      <c r="G131" s="420" t="s">
        <v>533</v>
      </c>
      <c r="H131" s="420" t="s">
        <v>534</v>
      </c>
      <c r="I131" s="420" t="s">
        <v>535</v>
      </c>
      <c r="K131" s="421">
        <f>LOOKUP(1E+100,M131:AB131)</f>
        <v>1885.7182609507843</v>
      </c>
      <c r="M131" s="421">
        <v>1900</v>
      </c>
      <c r="P131" s="420">
        <v>1885.7182609507843</v>
      </c>
    </row>
    <row r="132" spans="1:16" x14ac:dyDescent="0.3">
      <c r="A132" s="420">
        <v>5</v>
      </c>
      <c r="C132" s="420">
        <f>IF(E132=E131,C131+1,1)</f>
        <v>34</v>
      </c>
      <c r="D132" s="420">
        <f>IF(K132=K131,D131,C132)</f>
        <v>34</v>
      </c>
      <c r="E132" s="420">
        <f>10+VALUE(RIGHT(LEFT(G132,3),1))</f>
        <v>14</v>
      </c>
      <c r="F132" s="420" t="str">
        <f>RIGHT(G132,2) &amp; IF(A132&lt;2,"x","")</f>
        <v>pm</v>
      </c>
      <c r="G132" s="420" t="s">
        <v>538</v>
      </c>
      <c r="H132" s="420" t="s">
        <v>539</v>
      </c>
      <c r="I132" s="420" t="s">
        <v>540</v>
      </c>
      <c r="K132" s="421">
        <f>LOOKUP(1E+100,M132:AB132)</f>
        <v>1866.0217818946253</v>
      </c>
      <c r="M132" s="421">
        <v>1880</v>
      </c>
      <c r="P132" s="420">
        <v>1866.0217818946253</v>
      </c>
    </row>
    <row r="133" spans="1:16" x14ac:dyDescent="0.3">
      <c r="A133" s="420">
        <v>5</v>
      </c>
      <c r="C133" s="420">
        <f>IF(E133=E132,C132+1,1)</f>
        <v>35</v>
      </c>
      <c r="D133" s="420">
        <f>IF(K133=K132,D132,C133)</f>
        <v>35</v>
      </c>
      <c r="E133" s="420">
        <f>10+VALUE(RIGHT(LEFT(G133,3),1))</f>
        <v>14</v>
      </c>
      <c r="F133" s="420" t="str">
        <f>RIGHT(G133,2) &amp; IF(A133&lt;2,"x","")</f>
        <v>pm</v>
      </c>
      <c r="G133" s="420" t="s">
        <v>547</v>
      </c>
      <c r="H133" s="420" t="s">
        <v>437</v>
      </c>
      <c r="I133" s="420" t="s">
        <v>548</v>
      </c>
      <c r="K133" s="421">
        <f>LOOKUP(1E+100,M133:AB133)</f>
        <v>1847.3357292555668</v>
      </c>
      <c r="M133" s="421">
        <v>1840</v>
      </c>
      <c r="P133" s="420">
        <v>1847.3357292555668</v>
      </c>
    </row>
    <row r="134" spans="1:16" x14ac:dyDescent="0.3">
      <c r="A134" s="420">
        <v>2</v>
      </c>
      <c r="C134" s="420">
        <f>IF(E134=E133,C133+1,1)</f>
        <v>36</v>
      </c>
      <c r="D134" s="420">
        <f>IF(K134=K133,D133,C134)</f>
        <v>36</v>
      </c>
      <c r="E134" s="420">
        <f>10+VALUE(RIGHT(LEFT(G134,3),1))</f>
        <v>14</v>
      </c>
      <c r="F134" s="420" t="str">
        <f>RIGHT(G134,2) &amp; IF(A134&lt;2,"x","")</f>
        <v>pm</v>
      </c>
      <c r="G134" s="420" t="s">
        <v>526</v>
      </c>
      <c r="H134" s="420" t="s">
        <v>527</v>
      </c>
      <c r="I134" s="420" t="s">
        <v>528</v>
      </c>
      <c r="K134" s="421">
        <f>LOOKUP(1E+100,M134:AB134)</f>
        <v>1847.1241959091305</v>
      </c>
      <c r="M134" s="421">
        <v>2000</v>
      </c>
      <c r="P134" s="420">
        <v>1847.1241959091305</v>
      </c>
    </row>
    <row r="135" spans="1:16" x14ac:dyDescent="0.3">
      <c r="A135" s="420">
        <v>5</v>
      </c>
      <c r="C135" s="420">
        <f>IF(E135=E134,C134+1,1)</f>
        <v>37</v>
      </c>
      <c r="D135" s="420">
        <f>IF(K135=K134,D134,C135)</f>
        <v>37</v>
      </c>
      <c r="E135" s="420">
        <f>10+VALUE(RIGHT(LEFT(G135,3),1))</f>
        <v>14</v>
      </c>
      <c r="F135" s="420" t="str">
        <f>RIGHT(G135,2) &amp; IF(A135&lt;2,"x","")</f>
        <v>pm</v>
      </c>
      <c r="G135" s="420" t="s">
        <v>541</v>
      </c>
      <c r="H135" s="420" t="s">
        <v>305</v>
      </c>
      <c r="I135" s="420" t="s">
        <v>542</v>
      </c>
      <c r="K135" s="421">
        <f>LOOKUP(1E+100,M135:AB135)</f>
        <v>1847.1083510157146</v>
      </c>
      <c r="M135" s="421">
        <v>1880</v>
      </c>
      <c r="N135" s="420">
        <v>1847.1083510157146</v>
      </c>
    </row>
    <row r="136" spans="1:16" x14ac:dyDescent="0.3">
      <c r="A136" s="420">
        <v>3</v>
      </c>
      <c r="C136" s="420">
        <f>IF(E136=E135,C135+1,1)</f>
        <v>38</v>
      </c>
      <c r="D136" s="420">
        <f>IF(K136=K135,D135,C136)</f>
        <v>38</v>
      </c>
      <c r="E136" s="420">
        <f>10+VALUE(RIGHT(LEFT(G136,3),1))</f>
        <v>14</v>
      </c>
      <c r="F136" s="420" t="str">
        <f>RIGHT(G136,2) &amp; IF(A136&lt;2,"x","")</f>
        <v>pm</v>
      </c>
      <c r="G136" s="420" t="s">
        <v>556</v>
      </c>
      <c r="H136" s="420" t="s">
        <v>243</v>
      </c>
      <c r="I136" s="420" t="s">
        <v>557</v>
      </c>
      <c r="K136" s="421">
        <f>LOOKUP(1E+100,M136:AB136)</f>
        <v>1833.0084799585911</v>
      </c>
      <c r="M136" s="421">
        <v>1800</v>
      </c>
      <c r="N136" s="420">
        <v>1778.3842920745774</v>
      </c>
      <c r="P136" s="420">
        <v>1833.0084799585911</v>
      </c>
    </row>
    <row r="137" spans="1:16" x14ac:dyDescent="0.3">
      <c r="A137" s="420">
        <v>4</v>
      </c>
      <c r="C137" s="420">
        <f>IF(E137=E136,C136+1,1)</f>
        <v>39</v>
      </c>
      <c r="D137" s="420">
        <f>IF(K137=K136,D136,C137)</f>
        <v>39</v>
      </c>
      <c r="E137" s="420">
        <f>10+VALUE(RIGHT(LEFT(G137,3),1))</f>
        <v>14</v>
      </c>
      <c r="F137" s="420" t="str">
        <f>RIGHT(G137,2) &amp; IF(A137&lt;2,"x","")</f>
        <v>pm</v>
      </c>
      <c r="G137" s="420" t="s">
        <v>600</v>
      </c>
      <c r="H137" s="420" t="s">
        <v>334</v>
      </c>
      <c r="I137" s="420" t="s">
        <v>601</v>
      </c>
      <c r="K137" s="421">
        <f>LOOKUP(1E+100,M137:AB137)</f>
        <v>1830.0459906244043</v>
      </c>
      <c r="M137" s="421">
        <v>1800</v>
      </c>
      <c r="P137" s="420">
        <v>1830.0459906244043</v>
      </c>
    </row>
    <row r="138" spans="1:16" x14ac:dyDescent="0.3">
      <c r="A138" s="420">
        <v>4</v>
      </c>
      <c r="C138" s="420">
        <f>IF(E138=E137,C137+1,1)</f>
        <v>40</v>
      </c>
      <c r="D138" s="420">
        <f>IF(K138=K137,D137,C138)</f>
        <v>40</v>
      </c>
      <c r="E138" s="420">
        <f>10+VALUE(RIGHT(LEFT(G138,3),1))</f>
        <v>14</v>
      </c>
      <c r="F138" s="420" t="str">
        <f>RIGHT(G138,2) &amp; IF(A138&lt;2,"x","")</f>
        <v>pm</v>
      </c>
      <c r="G138" s="420" t="s">
        <v>566</v>
      </c>
      <c r="H138" s="420" t="s">
        <v>256</v>
      </c>
      <c r="I138" s="420" t="s">
        <v>567</v>
      </c>
      <c r="K138" s="421">
        <f>LOOKUP(1E+100,M138:AB138)</f>
        <v>1823.7998106301316</v>
      </c>
      <c r="M138" s="421">
        <v>1800</v>
      </c>
      <c r="P138" s="420">
        <v>1823.7998106301316</v>
      </c>
    </row>
    <row r="139" spans="1:16" x14ac:dyDescent="0.3">
      <c r="A139" s="420">
        <v>6</v>
      </c>
      <c r="C139" s="420">
        <f>IF(E139=E138,C138+1,1)</f>
        <v>41</v>
      </c>
      <c r="D139" s="420">
        <f>IF(K139=K138,D138,C139)</f>
        <v>41</v>
      </c>
      <c r="E139" s="420">
        <f>10+VALUE(RIGHT(LEFT(G139,3),1))</f>
        <v>14</v>
      </c>
      <c r="F139" s="420" t="str">
        <f>RIGHT(G139,2) &amp; IF(A139&lt;2,"x","")</f>
        <v>pm</v>
      </c>
      <c r="G139" s="420" t="s">
        <v>553</v>
      </c>
      <c r="H139" s="420" t="s">
        <v>554</v>
      </c>
      <c r="I139" s="420" t="s">
        <v>555</v>
      </c>
      <c r="K139" s="421">
        <f>LOOKUP(1E+100,M139:AB139)</f>
        <v>1815.1521821289225</v>
      </c>
      <c r="M139" s="421">
        <v>1800</v>
      </c>
      <c r="N139" s="420">
        <v>1718.6611112438743</v>
      </c>
      <c r="P139" s="420">
        <v>1815.1521821289225</v>
      </c>
    </row>
    <row r="140" spans="1:16" x14ac:dyDescent="0.3">
      <c r="A140" s="420">
        <v>4</v>
      </c>
      <c r="C140" s="420">
        <f>IF(E140=E139,C139+1,1)</f>
        <v>42</v>
      </c>
      <c r="D140" s="420">
        <f>IF(K140=K139,D139,C140)</f>
        <v>42</v>
      </c>
      <c r="E140" s="420">
        <f>10+VALUE(RIGHT(LEFT(G140,3),1))</f>
        <v>14</v>
      </c>
      <c r="F140" s="420" t="str">
        <f>RIGHT(G140,2) &amp; IF(A140&lt;2,"x","")</f>
        <v>pm</v>
      </c>
      <c r="G140" s="420" t="s">
        <v>578</v>
      </c>
      <c r="H140" s="420" t="s">
        <v>267</v>
      </c>
      <c r="I140" s="420" t="s">
        <v>579</v>
      </c>
      <c r="K140" s="421">
        <f>LOOKUP(1E+100,M140:AB140)</f>
        <v>1811.7997841538452</v>
      </c>
      <c r="M140" s="421">
        <v>1800</v>
      </c>
      <c r="N140" s="420">
        <v>1811.7997841538452</v>
      </c>
    </row>
    <row r="141" spans="1:16" x14ac:dyDescent="0.3">
      <c r="A141" s="420">
        <v>2</v>
      </c>
      <c r="C141" s="420">
        <f>IF(E141=E140,C140+1,1)</f>
        <v>43</v>
      </c>
      <c r="D141" s="420">
        <f>IF(K141=K140,D140,C141)</f>
        <v>43</v>
      </c>
      <c r="E141" s="420">
        <f>10+VALUE(RIGHT(LEFT(G141,3),1))</f>
        <v>14</v>
      </c>
      <c r="F141" s="420" t="str">
        <f>RIGHT(G141,2) &amp; IF(A141&lt;2,"x","")</f>
        <v>pm</v>
      </c>
      <c r="G141" s="420" t="s">
        <v>596</v>
      </c>
      <c r="H141" s="420" t="s">
        <v>200</v>
      </c>
      <c r="I141" s="420" t="s">
        <v>597</v>
      </c>
      <c r="K141" s="421">
        <f>LOOKUP(1E+100,M141:AB141)</f>
        <v>1810.2573586424166</v>
      </c>
      <c r="M141" s="421">
        <v>1800</v>
      </c>
      <c r="P141" s="420">
        <v>1810.2573586424166</v>
      </c>
    </row>
    <row r="142" spans="1:16" x14ac:dyDescent="0.3">
      <c r="A142" s="420">
        <v>2</v>
      </c>
      <c r="C142" s="420">
        <f>IF(E142=E141,C141+1,1)</f>
        <v>44</v>
      </c>
      <c r="D142" s="420">
        <f>IF(K142=K141,D141,C142)</f>
        <v>44</v>
      </c>
      <c r="E142" s="420">
        <f>10+VALUE(RIGHT(LEFT(G142,3),1))</f>
        <v>14</v>
      </c>
      <c r="F142" s="420" t="str">
        <f>RIGHT(G142,2) &amp; IF(A142&lt;2,"x","")</f>
        <v>pm</v>
      </c>
      <c r="G142" s="420" t="s">
        <v>551</v>
      </c>
      <c r="H142" s="420" t="s">
        <v>240</v>
      </c>
      <c r="I142" s="420" t="s">
        <v>552</v>
      </c>
      <c r="K142" s="421">
        <f>LOOKUP(1E+100,M142:AB142)</f>
        <v>1800</v>
      </c>
      <c r="M142" s="421">
        <v>1800</v>
      </c>
    </row>
    <row r="143" spans="1:16" x14ac:dyDescent="0.3">
      <c r="A143" s="420">
        <v>3</v>
      </c>
      <c r="C143" s="420">
        <f>IF(E143=E142,C142+1,1)</f>
        <v>45</v>
      </c>
      <c r="D143" s="420">
        <f>IF(K143=K142,D142,C143)</f>
        <v>44</v>
      </c>
      <c r="E143" s="420">
        <f>10+VALUE(RIGHT(LEFT(G143,3),1))</f>
        <v>14</v>
      </c>
      <c r="F143" s="420" t="str">
        <f>RIGHT(G143,2) &amp; IF(A143&lt;2,"x","")</f>
        <v>pm</v>
      </c>
      <c r="G143" s="420" t="s">
        <v>562</v>
      </c>
      <c r="H143" s="420" t="s">
        <v>250</v>
      </c>
      <c r="I143" s="420" t="s">
        <v>563</v>
      </c>
      <c r="K143" s="421">
        <f>LOOKUP(1E+100,M143:AB143)</f>
        <v>1800</v>
      </c>
      <c r="M143" s="421">
        <v>1800</v>
      </c>
    </row>
    <row r="144" spans="1:16" x14ac:dyDescent="0.3">
      <c r="A144" s="420">
        <v>4</v>
      </c>
      <c r="C144" s="420">
        <f>IF(E144=E143,C143+1,1)</f>
        <v>46</v>
      </c>
      <c r="D144" s="420">
        <f>IF(K144=K143,D143,C144)</f>
        <v>44</v>
      </c>
      <c r="E144" s="420">
        <f>10+VALUE(RIGHT(LEFT(G144,3),1))</f>
        <v>14</v>
      </c>
      <c r="F144" s="420" t="str">
        <f>RIGHT(G144,2) &amp; IF(A144&lt;2,"x","")</f>
        <v>pm</v>
      </c>
      <c r="G144" s="420" t="s">
        <v>588</v>
      </c>
      <c r="H144" s="420" t="s">
        <v>273</v>
      </c>
      <c r="I144" s="420" t="s">
        <v>589</v>
      </c>
      <c r="K144" s="421">
        <f>LOOKUP(1E+100,M144:AB144)</f>
        <v>1800</v>
      </c>
      <c r="M144" s="421">
        <v>1800</v>
      </c>
    </row>
    <row r="145" spans="1:16" x14ac:dyDescent="0.3">
      <c r="A145" s="420">
        <v>4</v>
      </c>
      <c r="C145" s="420">
        <f>IF(E145=E144,C144+1,1)</f>
        <v>47</v>
      </c>
      <c r="D145" s="420">
        <f>IF(K145=K144,D144,C145)</f>
        <v>47</v>
      </c>
      <c r="E145" s="420">
        <f>10+VALUE(RIGHT(LEFT(G145,3),1))</f>
        <v>14</v>
      </c>
      <c r="F145" s="420" t="str">
        <f>RIGHT(G145,2) &amp; IF(A145&lt;2,"x","")</f>
        <v>pm</v>
      </c>
      <c r="G145" s="420" t="s">
        <v>576</v>
      </c>
      <c r="H145" s="420" t="s">
        <v>318</v>
      </c>
      <c r="I145" s="420" t="s">
        <v>577</v>
      </c>
      <c r="K145" s="421">
        <f>LOOKUP(1E+100,M145:AB145)</f>
        <v>1784.1499381650262</v>
      </c>
      <c r="M145" s="421">
        <v>1800</v>
      </c>
      <c r="N145" s="420">
        <v>1730.7050678538524</v>
      </c>
      <c r="P145" s="420">
        <v>1784.1499381650262</v>
      </c>
    </row>
    <row r="146" spans="1:16" x14ac:dyDescent="0.3">
      <c r="A146" s="420">
        <v>6</v>
      </c>
      <c r="C146" s="420">
        <f>IF(E146=E145,C145+1,1)</f>
        <v>48</v>
      </c>
      <c r="D146" s="420">
        <f>IF(K146=K145,D145,C146)</f>
        <v>48</v>
      </c>
      <c r="E146" s="420">
        <f>10+VALUE(RIGHT(LEFT(G146,3),1))</f>
        <v>14</v>
      </c>
      <c r="F146" s="420" t="str">
        <f>RIGHT(G146,2) &amp; IF(A146&lt;2,"x","")</f>
        <v>pm</v>
      </c>
      <c r="G146" s="420" t="s">
        <v>584</v>
      </c>
      <c r="H146" s="420" t="s">
        <v>224</v>
      </c>
      <c r="I146" s="420" t="s">
        <v>585</v>
      </c>
      <c r="K146" s="421">
        <f>LOOKUP(1E+100,M146:AB146)</f>
        <v>1768.1399790988805</v>
      </c>
      <c r="M146" s="421">
        <v>1800</v>
      </c>
      <c r="P146" s="420">
        <v>1768.1399790988805</v>
      </c>
    </row>
    <row r="147" spans="1:16" x14ac:dyDescent="0.3">
      <c r="A147" s="420">
        <v>2</v>
      </c>
      <c r="C147" s="420">
        <f>IF(E147=E146,C146+1,1)</f>
        <v>49</v>
      </c>
      <c r="D147" s="420">
        <f>IF(K147=K146,D146,C147)</f>
        <v>49</v>
      </c>
      <c r="E147" s="420">
        <f>10+VALUE(RIGHT(LEFT(G147,3),1))</f>
        <v>14</v>
      </c>
      <c r="F147" s="420" t="str">
        <f>RIGHT(G147,2) &amp; IF(A147&lt;2,"x","")</f>
        <v>pm</v>
      </c>
      <c r="G147" s="420" t="s">
        <v>594</v>
      </c>
      <c r="H147" s="420" t="s">
        <v>200</v>
      </c>
      <c r="I147" s="420" t="s">
        <v>595</v>
      </c>
      <c r="K147" s="421">
        <f>LOOKUP(1E+100,M147:AB147)</f>
        <v>1766.0279354837069</v>
      </c>
      <c r="M147" s="421">
        <v>1800</v>
      </c>
      <c r="P147" s="420">
        <v>1766.0279354837069</v>
      </c>
    </row>
    <row r="148" spans="1:16" x14ac:dyDescent="0.3">
      <c r="A148" s="420">
        <v>7</v>
      </c>
      <c r="C148" s="420">
        <f>IF(E148=E147,C147+1,1)</f>
        <v>50</v>
      </c>
      <c r="D148" s="420">
        <f>IF(K148=K147,D147,C148)</f>
        <v>50</v>
      </c>
      <c r="E148" s="420">
        <f>10+VALUE(RIGHT(LEFT(G148,3),1))</f>
        <v>14</v>
      </c>
      <c r="F148" s="420" t="str">
        <f>RIGHT(G148,2) &amp; IF(A148&lt;2,"x","")</f>
        <v>pm</v>
      </c>
      <c r="G148" s="420" t="s">
        <v>545</v>
      </c>
      <c r="H148" s="420" t="s">
        <v>288</v>
      </c>
      <c r="I148" s="420" t="s">
        <v>546</v>
      </c>
      <c r="K148" s="421">
        <f>LOOKUP(1E+100,M148:AB148)</f>
        <v>1762.9452068718263</v>
      </c>
      <c r="M148" s="421">
        <v>1857.1428571428571</v>
      </c>
      <c r="P148" s="420">
        <v>1762.9452068718263</v>
      </c>
    </row>
    <row r="149" spans="1:16" x14ac:dyDescent="0.3">
      <c r="A149" s="420">
        <v>6</v>
      </c>
      <c r="C149" s="420">
        <f>IF(E149=E148,C148+1,1)</f>
        <v>51</v>
      </c>
      <c r="D149" s="420">
        <f>IF(K149=K148,D148,C149)</f>
        <v>51</v>
      </c>
      <c r="E149" s="420">
        <f>10+VALUE(RIGHT(LEFT(G149,3),1))</f>
        <v>14</v>
      </c>
      <c r="F149" s="420" t="str">
        <f>RIGHT(G149,2) &amp; IF(A149&lt;2,"x","")</f>
        <v>pm</v>
      </c>
      <c r="G149" s="420" t="s">
        <v>574</v>
      </c>
      <c r="H149" s="420" t="s">
        <v>264</v>
      </c>
      <c r="I149" s="420" t="s">
        <v>575</v>
      </c>
      <c r="K149" s="421">
        <f>LOOKUP(1E+100,M149:AB149)</f>
        <v>1761.038353768434</v>
      </c>
      <c r="M149" s="421">
        <v>1800</v>
      </c>
      <c r="P149" s="420">
        <v>1761.038353768434</v>
      </c>
    </row>
    <row r="150" spans="1:16" x14ac:dyDescent="0.3">
      <c r="A150" s="420">
        <v>3</v>
      </c>
      <c r="C150" s="420">
        <f>IF(E150=E149,C149+1,1)</f>
        <v>52</v>
      </c>
      <c r="D150" s="420">
        <f>IF(K150=K149,D149,C150)</f>
        <v>52</v>
      </c>
      <c r="E150" s="420">
        <f>10+VALUE(RIGHT(LEFT(G150,3),1))</f>
        <v>14</v>
      </c>
      <c r="F150" s="420" t="str">
        <f>RIGHT(G150,2) &amp; IF(A150&lt;2,"x","")</f>
        <v>pm</v>
      </c>
      <c r="G150" s="420" t="s">
        <v>560</v>
      </c>
      <c r="H150" s="420" t="s">
        <v>243</v>
      </c>
      <c r="I150" s="420" t="s">
        <v>561</v>
      </c>
      <c r="K150" s="421">
        <f>LOOKUP(1E+100,M150:AB150)</f>
        <v>1753.2138579630362</v>
      </c>
      <c r="M150" s="421">
        <v>1800</v>
      </c>
      <c r="P150" s="420">
        <v>1753.2138579630362</v>
      </c>
    </row>
    <row r="151" spans="1:16" x14ac:dyDescent="0.3">
      <c r="A151" s="420">
        <v>7</v>
      </c>
      <c r="C151" s="420">
        <f>IF(E151=E150,C150+1,1)</f>
        <v>53</v>
      </c>
      <c r="D151" s="420">
        <f>IF(K151=K150,D150,C151)</f>
        <v>53</v>
      </c>
      <c r="E151" s="420">
        <f>10+VALUE(RIGHT(LEFT(G151,3),1))</f>
        <v>14</v>
      </c>
      <c r="F151" s="420" t="str">
        <f>RIGHT(G151,2) &amp; IF(A151&lt;2,"x","")</f>
        <v>pm</v>
      </c>
      <c r="G151" s="420" t="s">
        <v>568</v>
      </c>
      <c r="H151" s="420" t="s">
        <v>261</v>
      </c>
      <c r="I151" s="420" t="s">
        <v>569</v>
      </c>
      <c r="K151" s="421">
        <f>LOOKUP(1E+100,M151:AB151)</f>
        <v>1752.8007396123487</v>
      </c>
      <c r="M151" s="421">
        <v>1800</v>
      </c>
      <c r="N151" s="420">
        <v>1721.4653216549868</v>
      </c>
      <c r="P151" s="420">
        <v>1752.8007396123487</v>
      </c>
    </row>
    <row r="152" spans="1:16" x14ac:dyDescent="0.3">
      <c r="A152" s="420">
        <v>6</v>
      </c>
      <c r="C152" s="420">
        <f>IF(E152=E151,C151+1,1)</f>
        <v>54</v>
      </c>
      <c r="D152" s="420">
        <f>IF(K152=K151,D151,C152)</f>
        <v>54</v>
      </c>
      <c r="E152" s="420">
        <f>10+VALUE(RIGHT(LEFT(G152,3),1))</f>
        <v>14</v>
      </c>
      <c r="F152" s="420" t="str">
        <f>RIGHT(G152,2) &amp; IF(A152&lt;2,"x","")</f>
        <v>pm</v>
      </c>
      <c r="G152" s="420" t="s">
        <v>582</v>
      </c>
      <c r="H152" s="420" t="s">
        <v>224</v>
      </c>
      <c r="I152" s="420" t="s">
        <v>583</v>
      </c>
      <c r="K152" s="421">
        <f>LOOKUP(1E+100,M152:AB152)</f>
        <v>1751.778292751929</v>
      </c>
      <c r="M152" s="421">
        <v>1800</v>
      </c>
      <c r="P152" s="420">
        <v>1751.778292751929</v>
      </c>
    </row>
    <row r="153" spans="1:16" x14ac:dyDescent="0.3">
      <c r="A153" s="420">
        <v>6</v>
      </c>
      <c r="C153" s="420">
        <f>IF(E153=E152,C152+1,1)</f>
        <v>55</v>
      </c>
      <c r="D153" s="420">
        <f>IF(K153=K152,D152,C153)</f>
        <v>55</v>
      </c>
      <c r="E153" s="420">
        <f>10+VALUE(RIGHT(LEFT(G153,3),1))</f>
        <v>14</v>
      </c>
      <c r="F153" s="420" t="str">
        <f>RIGHT(G153,2) &amp; IF(A153&lt;2,"x","")</f>
        <v>pm</v>
      </c>
      <c r="G153" s="420" t="s">
        <v>586</v>
      </c>
      <c r="H153" s="420" t="s">
        <v>224</v>
      </c>
      <c r="I153" s="420" t="s">
        <v>587</v>
      </c>
      <c r="K153" s="421">
        <f>LOOKUP(1E+100,M153:AB153)</f>
        <v>1745.9218651374065</v>
      </c>
      <c r="M153" s="421">
        <v>1800</v>
      </c>
      <c r="P153" s="420">
        <v>1745.9218651374065</v>
      </c>
    </row>
    <row r="154" spans="1:16" x14ac:dyDescent="0.3">
      <c r="A154" s="420">
        <v>7</v>
      </c>
      <c r="C154" s="420">
        <f>IF(E154=E153,C153+1,1)</f>
        <v>56</v>
      </c>
      <c r="D154" s="420">
        <f>IF(K154=K153,D153,C154)</f>
        <v>56</v>
      </c>
      <c r="E154" s="420">
        <f>10+VALUE(RIGHT(LEFT(G154,3),1))</f>
        <v>14</v>
      </c>
      <c r="F154" s="420" t="str">
        <f>RIGHT(G154,2) &amp; IF(A154&lt;2,"x","")</f>
        <v>pm</v>
      </c>
      <c r="G154" s="420" t="s">
        <v>570</v>
      </c>
      <c r="H154" s="420" t="s">
        <v>261</v>
      </c>
      <c r="I154" s="420" t="s">
        <v>571</v>
      </c>
      <c r="K154" s="421">
        <f>LOOKUP(1E+100,M154:AB154)</f>
        <v>1741.8980944244274</v>
      </c>
      <c r="M154" s="421">
        <v>1800</v>
      </c>
      <c r="N154" s="420">
        <v>1748.298089197034</v>
      </c>
      <c r="P154" s="420">
        <v>1741.8980944244274</v>
      </c>
    </row>
    <row r="155" spans="1:16" x14ac:dyDescent="0.3">
      <c r="A155" s="420">
        <v>5</v>
      </c>
      <c r="C155" s="420">
        <f>IF(E155=E154,C154+1,1)</f>
        <v>57</v>
      </c>
      <c r="D155" s="420">
        <f>IF(K155=K154,D154,C155)</f>
        <v>57</v>
      </c>
      <c r="E155" s="420">
        <f>10+VALUE(RIGHT(LEFT(G155,3),1))</f>
        <v>14</v>
      </c>
      <c r="F155" s="420" t="str">
        <f>RIGHT(G155,2) &amp; IF(A155&lt;2,"x","")</f>
        <v>pm</v>
      </c>
      <c r="G155" s="420" t="s">
        <v>592</v>
      </c>
      <c r="H155" s="420" t="s">
        <v>349</v>
      </c>
      <c r="I155" s="420" t="s">
        <v>593</v>
      </c>
      <c r="K155" s="421">
        <f>LOOKUP(1E+100,M155:AB155)</f>
        <v>1728.6570245875689</v>
      </c>
      <c r="M155" s="421">
        <v>1800</v>
      </c>
      <c r="N155" s="420">
        <v>1732.6432403106687</v>
      </c>
      <c r="P155" s="420">
        <v>1728.6570245875689</v>
      </c>
    </row>
    <row r="156" spans="1:16" x14ac:dyDescent="0.3">
      <c r="A156" s="420">
        <v>4</v>
      </c>
      <c r="C156" s="420">
        <f>IF(E156=E155,C155+1,1)</f>
        <v>58</v>
      </c>
      <c r="D156" s="420">
        <f>IF(K156=K155,D155,C156)</f>
        <v>58</v>
      </c>
      <c r="E156" s="420">
        <f>10+VALUE(RIGHT(LEFT(G156,3),1))</f>
        <v>14</v>
      </c>
      <c r="F156" s="420" t="str">
        <f>RIGHT(G156,2) &amp; IF(A156&lt;2,"x","")</f>
        <v>pm</v>
      </c>
      <c r="G156" s="420" t="s">
        <v>572</v>
      </c>
      <c r="H156" s="420" t="s">
        <v>261</v>
      </c>
      <c r="I156" s="420" t="s">
        <v>573</v>
      </c>
      <c r="K156" s="421">
        <f>LOOKUP(1E+100,M156:AB156)</f>
        <v>1678.3981971538039</v>
      </c>
      <c r="M156" s="421">
        <v>1800</v>
      </c>
      <c r="P156" s="420">
        <v>1678.3981971538039</v>
      </c>
    </row>
    <row r="157" spans="1:16" x14ac:dyDescent="0.3">
      <c r="A157" s="420">
        <v>7</v>
      </c>
      <c r="C157" s="420">
        <f>IF(E157=E156,C156+1,1)</f>
        <v>59</v>
      </c>
      <c r="D157" s="420">
        <f>IF(K157=K156,D156,C157)</f>
        <v>59</v>
      </c>
      <c r="E157" s="420">
        <f>10+VALUE(RIGHT(LEFT(G157,3),1))</f>
        <v>14</v>
      </c>
      <c r="F157" s="420" t="str">
        <f>RIGHT(G157,2) &amp; IF(A157&lt;2,"x","")</f>
        <v>pm</v>
      </c>
      <c r="G157" s="420" t="s">
        <v>580</v>
      </c>
      <c r="H157" s="420" t="s">
        <v>416</v>
      </c>
      <c r="I157" s="420" t="s">
        <v>581</v>
      </c>
      <c r="K157" s="421">
        <f>LOOKUP(1E+100,M157:AB157)</f>
        <v>1602.9288959944686</v>
      </c>
      <c r="M157" s="421">
        <v>1800</v>
      </c>
      <c r="N157" s="420">
        <v>1682.2582324305545</v>
      </c>
      <c r="P157" s="420">
        <v>1602.9288959944686</v>
      </c>
    </row>
    <row r="158" spans="1:16" x14ac:dyDescent="0.3">
      <c r="A158" s="420">
        <v>2</v>
      </c>
      <c r="C158" s="420">
        <f>IF(E158=E157,C157+1,1)</f>
        <v>1</v>
      </c>
      <c r="D158" s="420">
        <f>IF(K158=K157,D157,C158)</f>
        <v>1</v>
      </c>
      <c r="E158" s="420">
        <f>10+VALUE(RIGHT(LEFT(G158,3),1))</f>
        <v>15</v>
      </c>
      <c r="F158" s="420" t="str">
        <f>RIGHT(G158,2) &amp; IF(A158&lt;2,"x","")</f>
        <v>pm</v>
      </c>
      <c r="G158" s="420" t="s">
        <v>667</v>
      </c>
      <c r="H158" s="420" t="s">
        <v>349</v>
      </c>
      <c r="I158" s="420" t="s">
        <v>668</v>
      </c>
      <c r="K158" s="421">
        <f>LOOKUP(1E+100,M158:AB158)</f>
        <v>2490.4097268780183</v>
      </c>
      <c r="M158" s="421">
        <v>2400</v>
      </c>
      <c r="P158" s="420">
        <v>2490.4097268780183</v>
      </c>
    </row>
    <row r="159" spans="1:16" x14ac:dyDescent="0.3">
      <c r="A159" s="420">
        <v>5</v>
      </c>
      <c r="C159" s="420">
        <f>IF(E159=E158,C158+1,1)</f>
        <v>2</v>
      </c>
      <c r="D159" s="420">
        <f>IF(K159=K158,D158,C159)</f>
        <v>2</v>
      </c>
      <c r="E159" s="420">
        <f>10+VALUE(RIGHT(LEFT(G159,3),1))</f>
        <v>15</v>
      </c>
      <c r="F159" s="420" t="str">
        <f>RIGHT(G159,2) &amp; IF(A159&lt;2,"x","")</f>
        <v>pm</v>
      </c>
      <c r="G159" s="420" t="s">
        <v>648</v>
      </c>
      <c r="H159" s="420" t="s">
        <v>261</v>
      </c>
      <c r="I159" s="420" t="s">
        <v>649</v>
      </c>
      <c r="K159" s="421">
        <f>LOOKUP(1E+100,M159:AB159)</f>
        <v>2471.4438748412722</v>
      </c>
      <c r="M159" s="421">
        <v>2400</v>
      </c>
      <c r="P159" s="420">
        <v>2471.4438748412722</v>
      </c>
    </row>
    <row r="160" spans="1:16" x14ac:dyDescent="0.3">
      <c r="A160" s="420">
        <v>2</v>
      </c>
      <c r="C160" s="420">
        <f>IF(E160=E159,C159+1,1)</f>
        <v>3</v>
      </c>
      <c r="D160" s="420">
        <f>IF(K160=K159,D159,C160)</f>
        <v>3</v>
      </c>
      <c r="E160" s="420">
        <f>10+VALUE(RIGHT(LEFT(G160,3),1))</f>
        <v>15</v>
      </c>
      <c r="F160" s="420" t="str">
        <f>RIGHT(G160,2) &amp; IF(A160&lt;2,"x","")</f>
        <v>pm</v>
      </c>
      <c r="G160" s="420" t="s">
        <v>673</v>
      </c>
      <c r="H160" s="420" t="s">
        <v>215</v>
      </c>
      <c r="I160" s="420" t="s">
        <v>674</v>
      </c>
      <c r="K160" s="421">
        <f>LOOKUP(1E+100,M160:AB160)</f>
        <v>2468.9034180624526</v>
      </c>
      <c r="M160" s="421">
        <v>2400</v>
      </c>
      <c r="P160" s="420">
        <v>2468.9034180624526</v>
      </c>
    </row>
    <row r="161" spans="1:16" x14ac:dyDescent="0.3">
      <c r="A161" s="420">
        <v>5</v>
      </c>
      <c r="C161" s="420">
        <f>IF(E161=E160,C160+1,1)</f>
        <v>4</v>
      </c>
      <c r="D161" s="420">
        <f>IF(K161=K160,D160,C161)</f>
        <v>4</v>
      </c>
      <c r="E161" s="420">
        <f>10+VALUE(RIGHT(LEFT(G161,3),1))</f>
        <v>15</v>
      </c>
      <c r="F161" s="420" t="str">
        <f>RIGHT(G161,2) &amp; IF(A161&lt;2,"x","")</f>
        <v>pm</v>
      </c>
      <c r="G161" s="420" t="s">
        <v>710</v>
      </c>
      <c r="H161" s="420" t="s">
        <v>305</v>
      </c>
      <c r="I161" s="420" t="s">
        <v>711</v>
      </c>
      <c r="K161" s="421">
        <f>LOOKUP(1E+100,M161:AB161)</f>
        <v>2443.7279493714677</v>
      </c>
      <c r="M161" s="421">
        <v>2320</v>
      </c>
      <c r="N161" s="420">
        <v>2443.7279493714677</v>
      </c>
    </row>
    <row r="162" spans="1:16" x14ac:dyDescent="0.3">
      <c r="A162" s="420">
        <v>4</v>
      </c>
      <c r="C162" s="420">
        <f>IF(E162=E161,C161+1,1)</f>
        <v>5</v>
      </c>
      <c r="D162" s="420">
        <f>IF(K162=K161,D161,C162)</f>
        <v>5</v>
      </c>
      <c r="E162" s="420">
        <f>10+VALUE(RIGHT(LEFT(G162,3),1))</f>
        <v>15</v>
      </c>
      <c r="F162" s="420" t="str">
        <f>RIGHT(G162,2) &amp; IF(A162&lt;2,"x","")</f>
        <v>pm</v>
      </c>
      <c r="G162" s="420" t="s">
        <v>640</v>
      </c>
      <c r="H162" s="420" t="s">
        <v>243</v>
      </c>
      <c r="I162" s="420" t="s">
        <v>641</v>
      </c>
      <c r="K162" s="421">
        <f>LOOKUP(1E+100,M162:AB162)</f>
        <v>2441.2340844359674</v>
      </c>
      <c r="M162" s="421">
        <v>2400</v>
      </c>
      <c r="P162" s="420">
        <v>2441.2340844359674</v>
      </c>
    </row>
    <row r="163" spans="1:16" x14ac:dyDescent="0.3">
      <c r="A163" s="420">
        <v>5</v>
      </c>
      <c r="C163" s="420">
        <f>IF(E163=E162,C162+1,1)</f>
        <v>6</v>
      </c>
      <c r="D163" s="420">
        <f>IF(K163=K162,D162,C163)</f>
        <v>6</v>
      </c>
      <c r="E163" s="420">
        <f>10+VALUE(RIGHT(LEFT(G163,3),1))</f>
        <v>15</v>
      </c>
      <c r="F163" s="420" t="str">
        <f>RIGHT(G163,2) &amp; IF(A163&lt;2,"x","")</f>
        <v>pm</v>
      </c>
      <c r="G163" s="420" t="s">
        <v>704</v>
      </c>
      <c r="H163" s="420" t="s">
        <v>288</v>
      </c>
      <c r="I163" s="420" t="s">
        <v>705</v>
      </c>
      <c r="K163" s="421">
        <f>LOOKUP(1E+100,M163:AB163)</f>
        <v>2429.3281503386752</v>
      </c>
      <c r="M163" s="421">
        <v>2400</v>
      </c>
      <c r="O163" s="420">
        <v>2429.3281503386752</v>
      </c>
    </row>
    <row r="164" spans="1:16" x14ac:dyDescent="0.3">
      <c r="A164" s="420">
        <v>3</v>
      </c>
      <c r="C164" s="420">
        <f>IF(E164=E163,C163+1,1)</f>
        <v>7</v>
      </c>
      <c r="D164" s="420">
        <f>IF(K164=K163,D163,C164)</f>
        <v>7</v>
      </c>
      <c r="E164" s="420">
        <f>10+VALUE(RIGHT(LEFT(G164,3),1))</f>
        <v>15</v>
      </c>
      <c r="F164" s="420" t="str">
        <f>RIGHT(G164,2) &amp; IF(A164&lt;2,"x","")</f>
        <v>pm</v>
      </c>
      <c r="G164" s="420" t="s">
        <v>708</v>
      </c>
      <c r="H164" s="420" t="s">
        <v>227</v>
      </c>
      <c r="I164" s="420" t="s">
        <v>709</v>
      </c>
      <c r="K164" s="421">
        <f>LOOKUP(1E+100,M164:AB164)</f>
        <v>2421.6337699850151</v>
      </c>
      <c r="M164" s="421">
        <v>2333.3333333333335</v>
      </c>
      <c r="O164" s="420">
        <v>2421.6337699850151</v>
      </c>
    </row>
    <row r="165" spans="1:16" x14ac:dyDescent="0.3">
      <c r="A165" s="420">
        <v>2</v>
      </c>
      <c r="C165" s="420">
        <f>IF(E165=E164,C164+1,1)</f>
        <v>8</v>
      </c>
      <c r="D165" s="420">
        <f>IF(K165=K164,D164,C165)</f>
        <v>8</v>
      </c>
      <c r="E165" s="420">
        <f>10+VALUE(RIGHT(LEFT(G165,3),1))</f>
        <v>15</v>
      </c>
      <c r="F165" s="420" t="str">
        <f>RIGHT(G165,2) &amp; IF(A165&lt;2,"x","")</f>
        <v>pm</v>
      </c>
      <c r="G165" s="420" t="s">
        <v>646</v>
      </c>
      <c r="H165" s="420" t="s">
        <v>256</v>
      </c>
      <c r="I165" s="420" t="s">
        <v>647</v>
      </c>
      <c r="K165" s="421">
        <f>LOOKUP(1E+100,M165:AB165)</f>
        <v>2417.874790352118</v>
      </c>
      <c r="M165" s="421">
        <v>2400</v>
      </c>
      <c r="P165" s="420">
        <v>2417.874790352118</v>
      </c>
    </row>
    <row r="166" spans="1:16" x14ac:dyDescent="0.3">
      <c r="A166" s="420">
        <v>7</v>
      </c>
      <c r="C166" s="420">
        <f>IF(E166=E165,C165+1,1)</f>
        <v>9</v>
      </c>
      <c r="D166" s="420">
        <f>IF(K166=K165,D165,C166)</f>
        <v>9</v>
      </c>
      <c r="E166" s="420">
        <f>10+VALUE(RIGHT(LEFT(G166,3),1))</f>
        <v>15</v>
      </c>
      <c r="F166" s="420" t="str">
        <f>RIGHT(G166,2) &amp; IF(A166&lt;2,"x","")</f>
        <v>pm</v>
      </c>
      <c r="G166" s="420" t="s">
        <v>665</v>
      </c>
      <c r="H166" s="420" t="s">
        <v>278</v>
      </c>
      <c r="I166" s="420" t="s">
        <v>666</v>
      </c>
      <c r="K166" s="421">
        <f>LOOKUP(1E+100,M166:AB166)</f>
        <v>2407.569219000482</v>
      </c>
      <c r="M166" s="421">
        <v>2400</v>
      </c>
      <c r="O166" s="420">
        <v>2440.2205530331553</v>
      </c>
      <c r="P166" s="420">
        <v>2407.569219000482</v>
      </c>
    </row>
    <row r="167" spans="1:16" x14ac:dyDescent="0.3">
      <c r="A167" s="420">
        <v>2</v>
      </c>
      <c r="C167" s="420">
        <f>IF(E167=E166,C166+1,1)</f>
        <v>10</v>
      </c>
      <c r="D167" s="420">
        <f>IF(K167=K166,D166,C167)</f>
        <v>10</v>
      </c>
      <c r="E167" s="420">
        <f>10+VALUE(RIGHT(LEFT(G167,3),1))</f>
        <v>15</v>
      </c>
      <c r="F167" s="420" t="str">
        <f>RIGHT(G167,2) &amp; IF(A167&lt;2,"x","")</f>
        <v>pm</v>
      </c>
      <c r="G167" s="420" t="s">
        <v>638</v>
      </c>
      <c r="H167" s="420" t="s">
        <v>243</v>
      </c>
      <c r="I167" s="420" t="s">
        <v>639</v>
      </c>
      <c r="K167" s="421">
        <f>LOOKUP(1E+100,M167:AB167)</f>
        <v>2400</v>
      </c>
      <c r="M167" s="421">
        <v>2400</v>
      </c>
    </row>
    <row r="168" spans="1:16" x14ac:dyDescent="0.3">
      <c r="A168" s="420">
        <v>3</v>
      </c>
      <c r="C168" s="420">
        <f>IF(E168=E167,C167+1,1)</f>
        <v>11</v>
      </c>
      <c r="D168" s="420">
        <f>IF(K168=K167,D167,C168)</f>
        <v>10</v>
      </c>
      <c r="E168" s="420">
        <f>10+VALUE(RIGHT(LEFT(G168,3),1))</f>
        <v>15</v>
      </c>
      <c r="F168" s="420" t="str">
        <f>RIGHT(G168,2) &amp; IF(A168&lt;2,"x","")</f>
        <v>pm</v>
      </c>
      <c r="G168" s="420" t="s">
        <v>652</v>
      </c>
      <c r="H168" s="420" t="s">
        <v>224</v>
      </c>
      <c r="I168" s="420" t="s">
        <v>653</v>
      </c>
      <c r="K168" s="421">
        <f>LOOKUP(1E+100,M168:AB168)</f>
        <v>2400</v>
      </c>
      <c r="M168" s="421">
        <v>2400</v>
      </c>
    </row>
    <row r="169" spans="1:16" x14ac:dyDescent="0.3">
      <c r="A169" s="420">
        <v>3</v>
      </c>
      <c r="C169" s="420">
        <f>IF(E169=E168,C168+1,1)</f>
        <v>12</v>
      </c>
      <c r="D169" s="420">
        <f>IF(K169=K168,D168,C169)</f>
        <v>10</v>
      </c>
      <c r="E169" s="420">
        <f>10+VALUE(RIGHT(LEFT(G169,3),1))</f>
        <v>15</v>
      </c>
      <c r="F169" s="420" t="str">
        <f>RIGHT(G169,2) &amp; IF(A169&lt;2,"x","")</f>
        <v>pm</v>
      </c>
      <c r="G169" s="420" t="s">
        <v>654</v>
      </c>
      <c r="H169" s="420" t="s">
        <v>224</v>
      </c>
      <c r="I169" s="420" t="s">
        <v>655</v>
      </c>
      <c r="K169" s="421">
        <f>LOOKUP(1E+100,M169:AB169)</f>
        <v>2400</v>
      </c>
      <c r="M169" s="421">
        <v>2400</v>
      </c>
    </row>
    <row r="170" spans="1:16" x14ac:dyDescent="0.3">
      <c r="A170" s="420">
        <v>2</v>
      </c>
      <c r="C170" s="420">
        <f>IF(E170=E169,C169+1,1)</f>
        <v>13</v>
      </c>
      <c r="D170" s="420">
        <f>IF(K170=K169,D169,C170)</f>
        <v>10</v>
      </c>
      <c r="E170" s="420">
        <f>10+VALUE(RIGHT(LEFT(G170,3),1))</f>
        <v>15</v>
      </c>
      <c r="F170" s="420" t="str">
        <f>RIGHT(G170,2) &amp; IF(A170&lt;2,"x","")</f>
        <v>pm</v>
      </c>
      <c r="G170" s="420" t="s">
        <v>669</v>
      </c>
      <c r="H170" s="420" t="s">
        <v>352</v>
      </c>
      <c r="I170" s="420" t="s">
        <v>670</v>
      </c>
      <c r="K170" s="421">
        <f>LOOKUP(1E+100,M170:AB170)</f>
        <v>2400</v>
      </c>
      <c r="M170" s="421">
        <v>2400</v>
      </c>
    </row>
    <row r="171" spans="1:16" x14ac:dyDescent="0.3">
      <c r="A171" s="420">
        <v>4</v>
      </c>
      <c r="C171" s="420">
        <f>IF(E171=E170,C170+1,1)</f>
        <v>14</v>
      </c>
      <c r="D171" s="420">
        <f>IF(K171=K170,D170,C171)</f>
        <v>10</v>
      </c>
      <c r="E171" s="420">
        <f>10+VALUE(RIGHT(LEFT(G171,3),1))</f>
        <v>15</v>
      </c>
      <c r="F171" s="420" t="str">
        <f>RIGHT(G171,2) &amp; IF(A171&lt;2,"x","")</f>
        <v>pm</v>
      </c>
      <c r="G171" s="420" t="s">
        <v>702</v>
      </c>
      <c r="H171" s="420" t="s">
        <v>288</v>
      </c>
      <c r="I171" s="420" t="s">
        <v>703</v>
      </c>
      <c r="K171" s="421">
        <f>LOOKUP(1E+100,M171:AB171)</f>
        <v>2400</v>
      </c>
      <c r="M171" s="421">
        <v>2400</v>
      </c>
    </row>
    <row r="172" spans="1:16" x14ac:dyDescent="0.3">
      <c r="A172" s="420">
        <v>2</v>
      </c>
      <c r="C172" s="420">
        <f>IF(E172=E171,C171+1,1)</f>
        <v>15</v>
      </c>
      <c r="D172" s="420">
        <f>IF(K172=K171,D171,C172)</f>
        <v>10</v>
      </c>
      <c r="E172" s="420">
        <f>10+VALUE(RIGHT(LEFT(G172,3),1))</f>
        <v>15</v>
      </c>
      <c r="F172" s="420" t="str">
        <f>RIGHT(G172,2) &amp; IF(A172&lt;2,"x","")</f>
        <v>pm</v>
      </c>
      <c r="G172" s="420" t="s">
        <v>679</v>
      </c>
      <c r="H172" s="420" t="s">
        <v>218</v>
      </c>
      <c r="I172" s="420" t="s">
        <v>680</v>
      </c>
      <c r="K172" s="421">
        <f>LOOKUP(1E+100,M172:AB172)</f>
        <v>2400</v>
      </c>
      <c r="M172" s="421">
        <v>2400</v>
      </c>
    </row>
    <row r="173" spans="1:16" x14ac:dyDescent="0.3">
      <c r="A173" s="420">
        <v>2</v>
      </c>
      <c r="C173" s="420">
        <f>IF(E173=E172,C172+1,1)</f>
        <v>16</v>
      </c>
      <c r="D173" s="420">
        <f>IF(K173=K172,D172,C173)</f>
        <v>10</v>
      </c>
      <c r="E173" s="420">
        <f>10+VALUE(RIGHT(LEFT(G173,3),1))</f>
        <v>15</v>
      </c>
      <c r="F173" s="420" t="str">
        <f>RIGHT(G173,2) &amp; IF(A173&lt;2,"x","")</f>
        <v>pm</v>
      </c>
      <c r="G173" s="420" t="s">
        <v>677</v>
      </c>
      <c r="H173" s="420" t="s">
        <v>283</v>
      </c>
      <c r="I173" s="420" t="s">
        <v>678</v>
      </c>
      <c r="K173" s="421">
        <f>LOOKUP(1E+100,M173:AB173)</f>
        <v>2400</v>
      </c>
      <c r="M173" s="421">
        <v>2400</v>
      </c>
    </row>
    <row r="174" spans="1:16" x14ac:dyDescent="0.3">
      <c r="A174" s="420">
        <v>2</v>
      </c>
      <c r="C174" s="420">
        <f>IF(E174=E173,C173+1,1)</f>
        <v>17</v>
      </c>
      <c r="D174" s="420">
        <f>IF(K174=K173,D173,C174)</f>
        <v>10</v>
      </c>
      <c r="E174" s="420">
        <f>10+VALUE(RIGHT(LEFT(G174,3),1))</f>
        <v>15</v>
      </c>
      <c r="F174" s="420" t="str">
        <f>RIGHT(G174,2) &amp; IF(A174&lt;2,"x","")</f>
        <v>pm</v>
      </c>
      <c r="G174" s="420" t="s">
        <v>683</v>
      </c>
      <c r="H174" s="420" t="s">
        <v>227</v>
      </c>
      <c r="I174" s="420" t="s">
        <v>684</v>
      </c>
      <c r="K174" s="421">
        <f>LOOKUP(1E+100,M174:AB174)</f>
        <v>2400</v>
      </c>
      <c r="M174" s="421">
        <v>2400</v>
      </c>
    </row>
    <row r="175" spans="1:16" x14ac:dyDescent="0.3">
      <c r="A175" s="420">
        <v>2</v>
      </c>
      <c r="C175" s="420">
        <f>IF(E175=E174,C174+1,1)</f>
        <v>18</v>
      </c>
      <c r="D175" s="420">
        <f>IF(K175=K174,D174,C175)</f>
        <v>10</v>
      </c>
      <c r="E175" s="420">
        <f>10+VALUE(RIGHT(LEFT(G175,3),1))</f>
        <v>15</v>
      </c>
      <c r="F175" s="420" t="str">
        <f>RIGHT(G175,2) &amp; IF(A175&lt;2,"x","")</f>
        <v>pm</v>
      </c>
      <c r="G175" s="420" t="s">
        <v>685</v>
      </c>
      <c r="H175" s="420" t="s">
        <v>221</v>
      </c>
      <c r="I175" s="420" t="s">
        <v>686</v>
      </c>
      <c r="K175" s="421">
        <f>LOOKUP(1E+100,M175:AB175)</f>
        <v>2400</v>
      </c>
      <c r="M175" s="421">
        <v>2400</v>
      </c>
    </row>
    <row r="176" spans="1:16" x14ac:dyDescent="0.3">
      <c r="A176" s="420">
        <v>4</v>
      </c>
      <c r="C176" s="420">
        <f>IF(E176=E175,C175+1,1)</f>
        <v>19</v>
      </c>
      <c r="D176" s="420">
        <f>IF(K176=K175,D175,C176)</f>
        <v>19</v>
      </c>
      <c r="E176" s="420">
        <f>10+VALUE(RIGHT(LEFT(G176,3),1))</f>
        <v>15</v>
      </c>
      <c r="F176" s="420" t="str">
        <f>RIGHT(G176,2) &amp; IF(A176&lt;2,"x","")</f>
        <v>pm</v>
      </c>
      <c r="G176" s="420" t="s">
        <v>656</v>
      </c>
      <c r="H176" s="420" t="s">
        <v>224</v>
      </c>
      <c r="I176" s="420" t="s">
        <v>657</v>
      </c>
      <c r="K176" s="421">
        <f>LOOKUP(1E+100,M176:AB176)</f>
        <v>2393.1790713515361</v>
      </c>
      <c r="M176" s="421">
        <v>2400</v>
      </c>
      <c r="O176" s="420">
        <v>2393.1790713515361</v>
      </c>
    </row>
    <row r="177" spans="1:16" x14ac:dyDescent="0.3">
      <c r="A177" s="420">
        <v>3</v>
      </c>
      <c r="C177" s="420">
        <f>IF(E177=E176,C176+1,1)</f>
        <v>20</v>
      </c>
      <c r="D177" s="420">
        <f>IF(K177=K176,D176,C177)</f>
        <v>20</v>
      </c>
      <c r="E177" s="420">
        <f>10+VALUE(RIGHT(LEFT(G177,3),1))</f>
        <v>15</v>
      </c>
      <c r="F177" s="420" t="str">
        <f>RIGHT(G177,2) &amp; IF(A177&lt;2,"x","")</f>
        <v>pm</v>
      </c>
      <c r="G177" s="420" t="s">
        <v>644</v>
      </c>
      <c r="H177" s="420" t="s">
        <v>256</v>
      </c>
      <c r="I177" s="420" t="s">
        <v>645</v>
      </c>
      <c r="K177" s="421">
        <f>LOOKUP(1E+100,M177:AB177)</f>
        <v>2381.8589517504856</v>
      </c>
      <c r="M177" s="421">
        <v>2400</v>
      </c>
      <c r="O177" s="420">
        <v>2467.3184086886131</v>
      </c>
      <c r="P177" s="420">
        <v>2381.8589517504856</v>
      </c>
    </row>
    <row r="178" spans="1:16" x14ac:dyDescent="0.3">
      <c r="A178" s="420">
        <v>5</v>
      </c>
      <c r="C178" s="420">
        <f>IF(E178=E177,C177+1,1)</f>
        <v>21</v>
      </c>
      <c r="D178" s="420">
        <f>IF(K178=K177,D177,C178)</f>
        <v>21</v>
      </c>
      <c r="E178" s="420">
        <f>10+VALUE(RIGHT(LEFT(G178,3),1))</f>
        <v>15</v>
      </c>
      <c r="F178" s="420" t="str">
        <f>RIGHT(G178,2) &amp; IF(A178&lt;2,"x","")</f>
        <v>pm</v>
      </c>
      <c r="G178" s="420" t="s">
        <v>706</v>
      </c>
      <c r="H178" s="420" t="s">
        <v>288</v>
      </c>
      <c r="I178" s="420" t="s">
        <v>707</v>
      </c>
      <c r="K178" s="421">
        <f>LOOKUP(1E+100,M178:AB178)</f>
        <v>2364.2098949089186</v>
      </c>
      <c r="M178" s="421">
        <v>2400</v>
      </c>
      <c r="O178" s="420">
        <v>2364.2098949089186</v>
      </c>
    </row>
    <row r="179" spans="1:16" x14ac:dyDescent="0.3">
      <c r="A179" s="420">
        <v>2</v>
      </c>
      <c r="C179" s="420">
        <f>IF(E179=E178,C178+1,1)</f>
        <v>22</v>
      </c>
      <c r="D179" s="420">
        <f>IF(K179=K178,D178,C179)</f>
        <v>22</v>
      </c>
      <c r="E179" s="420">
        <f>10+VALUE(RIGHT(LEFT(G179,3),1))</f>
        <v>15</v>
      </c>
      <c r="F179" s="420" t="str">
        <f>RIGHT(G179,2) &amp; IF(A179&lt;2,"x","")</f>
        <v>pm</v>
      </c>
      <c r="G179" s="420" t="s">
        <v>712</v>
      </c>
      <c r="H179" s="420" t="s">
        <v>200</v>
      </c>
      <c r="I179" s="420" t="s">
        <v>713</v>
      </c>
      <c r="K179" s="421">
        <f>LOOKUP(1E+100,M179:AB179)</f>
        <v>2356.2959603435406</v>
      </c>
      <c r="M179" s="421">
        <v>2300</v>
      </c>
      <c r="P179" s="420">
        <v>2356.2959603435406</v>
      </c>
    </row>
    <row r="180" spans="1:16" x14ac:dyDescent="0.3">
      <c r="A180" s="420">
        <v>6</v>
      </c>
      <c r="C180" s="420">
        <f>IF(E180=E179,C179+1,1)</f>
        <v>23</v>
      </c>
      <c r="D180" s="420">
        <f>IF(K180=K179,D179,C180)</f>
        <v>23</v>
      </c>
      <c r="E180" s="420">
        <f>10+VALUE(RIGHT(LEFT(G180,3),1))</f>
        <v>15</v>
      </c>
      <c r="F180" s="420" t="str">
        <f>RIGHT(G180,2) &amp; IF(A180&lt;2,"x","")</f>
        <v>pm</v>
      </c>
      <c r="G180" s="420" t="s">
        <v>650</v>
      </c>
      <c r="H180" s="420" t="s">
        <v>261</v>
      </c>
      <c r="I180" s="420" t="s">
        <v>651</v>
      </c>
      <c r="K180" s="421">
        <f>LOOKUP(1E+100,M180:AB180)</f>
        <v>2351.0458116269024</v>
      </c>
      <c r="M180" s="421">
        <v>2400</v>
      </c>
      <c r="O180" s="420">
        <v>2441.8185825032424</v>
      </c>
      <c r="P180" s="420">
        <v>2351.0458116269024</v>
      </c>
    </row>
    <row r="181" spans="1:16" x14ac:dyDescent="0.3">
      <c r="A181" s="420">
        <v>4</v>
      </c>
      <c r="C181" s="420">
        <f>IF(E181=E180,C180+1,1)</f>
        <v>24</v>
      </c>
      <c r="D181" s="420">
        <f>IF(K181=K180,D180,C181)</f>
        <v>24</v>
      </c>
      <c r="E181" s="420">
        <f>10+VALUE(RIGHT(LEFT(G181,3),1))</f>
        <v>15</v>
      </c>
      <c r="F181" s="420" t="str">
        <f>RIGHT(G181,2) &amp; IF(A181&lt;2,"x","")</f>
        <v>pm</v>
      </c>
      <c r="G181" s="420" t="s">
        <v>642</v>
      </c>
      <c r="H181" s="420" t="s">
        <v>243</v>
      </c>
      <c r="I181" s="420" t="s">
        <v>643</v>
      </c>
      <c r="K181" s="421">
        <f>LOOKUP(1E+100,M181:AB181)</f>
        <v>2336.1202937617072</v>
      </c>
      <c r="M181" s="421">
        <v>2400</v>
      </c>
      <c r="P181" s="420">
        <v>2336.1202937617072</v>
      </c>
    </row>
    <row r="182" spans="1:16" x14ac:dyDescent="0.3">
      <c r="A182" s="420">
        <v>3</v>
      </c>
      <c r="C182" s="420">
        <f>IF(E182=E181,C181+1,1)</f>
        <v>25</v>
      </c>
      <c r="D182" s="420">
        <f>IF(K182=K181,D181,C182)</f>
        <v>25</v>
      </c>
      <c r="E182" s="420">
        <f>10+VALUE(RIGHT(LEFT(G182,3),1))</f>
        <v>15</v>
      </c>
      <c r="F182" s="420" t="str">
        <f>RIGHT(G182,2) &amp; IF(A182&lt;2,"x","")</f>
        <v>pm</v>
      </c>
      <c r="G182" s="420" t="s">
        <v>662</v>
      </c>
      <c r="H182" s="420" t="s">
        <v>663</v>
      </c>
      <c r="I182" s="420" t="s">
        <v>664</v>
      </c>
      <c r="K182" s="421">
        <f>LOOKUP(1E+100,M182:AB182)</f>
        <v>2333.6714401541003</v>
      </c>
      <c r="M182" s="421">
        <v>2400</v>
      </c>
      <c r="P182" s="420">
        <v>2333.6714401541003</v>
      </c>
    </row>
    <row r="183" spans="1:16" x14ac:dyDescent="0.3">
      <c r="A183" s="420">
        <v>3</v>
      </c>
      <c r="C183" s="420">
        <f>IF(E183=E182,C182+1,1)</f>
        <v>26</v>
      </c>
      <c r="D183" s="420">
        <f>IF(K183=K182,D182,C183)</f>
        <v>26</v>
      </c>
      <c r="E183" s="420">
        <f>10+VALUE(RIGHT(LEFT(G183,3),1))</f>
        <v>15</v>
      </c>
      <c r="F183" s="420" t="str">
        <f>RIGHT(G183,2) &amp; IF(A183&lt;2,"x","")</f>
        <v>pm</v>
      </c>
      <c r="G183" s="420" t="s">
        <v>675</v>
      </c>
      <c r="H183" s="420" t="s">
        <v>215</v>
      </c>
      <c r="I183" s="420" t="s">
        <v>676</v>
      </c>
      <c r="K183" s="421">
        <f>LOOKUP(1E+100,M183:AB183)</f>
        <v>2313.0079257034422</v>
      </c>
      <c r="M183" s="421">
        <v>2400</v>
      </c>
      <c r="P183" s="420">
        <v>2313.0079257034422</v>
      </c>
    </row>
    <row r="184" spans="1:16" x14ac:dyDescent="0.3">
      <c r="A184" s="420">
        <v>5</v>
      </c>
      <c r="C184" s="420">
        <f>IF(E184=E183,C183+1,1)</f>
        <v>27</v>
      </c>
      <c r="D184" s="420">
        <f>IF(K184=K183,D183,C184)</f>
        <v>27</v>
      </c>
      <c r="E184" s="420">
        <f>10+VALUE(RIGHT(LEFT(G184,3),1))</f>
        <v>15</v>
      </c>
      <c r="F184" s="420" t="str">
        <f>RIGHT(G184,2) &amp; IF(A184&lt;2,"x","")</f>
        <v>pm</v>
      </c>
      <c r="G184" s="420" t="s">
        <v>660</v>
      </c>
      <c r="H184" s="420" t="s">
        <v>224</v>
      </c>
      <c r="I184" s="420" t="s">
        <v>661</v>
      </c>
      <c r="K184" s="421">
        <f>LOOKUP(1E+100,M184:AB184)</f>
        <v>2298.8859045016379</v>
      </c>
      <c r="M184" s="421">
        <v>2400</v>
      </c>
      <c r="O184" s="420">
        <v>2298.8859045016379</v>
      </c>
    </row>
    <row r="185" spans="1:16" x14ac:dyDescent="0.3">
      <c r="A185" s="420">
        <v>3</v>
      </c>
      <c r="C185" s="420">
        <f>IF(E185=E184,C184+1,1)</f>
        <v>28</v>
      </c>
      <c r="D185" s="420">
        <f>IF(K185=K184,D184,C185)</f>
        <v>28</v>
      </c>
      <c r="E185" s="420">
        <f>10+VALUE(RIGHT(LEFT(G185,3),1))</f>
        <v>15</v>
      </c>
      <c r="F185" s="420" t="str">
        <f>RIGHT(G185,2) &amp; IF(A185&lt;2,"x","")</f>
        <v>pm</v>
      </c>
      <c r="G185" s="420" t="s">
        <v>658</v>
      </c>
      <c r="H185" s="420" t="s">
        <v>224</v>
      </c>
      <c r="I185" s="420" t="s">
        <v>659</v>
      </c>
      <c r="K185" s="421">
        <f>LOOKUP(1E+100,M185:AB185)</f>
        <v>2296.1318958952461</v>
      </c>
      <c r="M185" s="421">
        <v>2400</v>
      </c>
      <c r="P185" s="420">
        <v>2296.1318958952461</v>
      </c>
    </row>
    <row r="186" spans="1:16" x14ac:dyDescent="0.3">
      <c r="A186" s="420">
        <v>2</v>
      </c>
      <c r="C186" s="420">
        <f>IF(E186=E185,C185+1,1)</f>
        <v>29</v>
      </c>
      <c r="D186" s="420">
        <f>IF(K186=K185,D185,C186)</f>
        <v>29</v>
      </c>
      <c r="E186" s="420">
        <f>10+VALUE(RIGHT(LEFT(G186,3),1))</f>
        <v>15</v>
      </c>
      <c r="F186" s="420" t="str">
        <f>RIGHT(G186,2) &amp; IF(A186&lt;2,"x","")</f>
        <v>pm</v>
      </c>
      <c r="G186" s="420" t="s">
        <v>717</v>
      </c>
      <c r="H186" s="420" t="s">
        <v>227</v>
      </c>
      <c r="I186" s="420" t="s">
        <v>718</v>
      </c>
      <c r="K186" s="421">
        <f>LOOKUP(1E+100,M186:AB186)</f>
        <v>2200</v>
      </c>
      <c r="M186" s="421">
        <v>2200</v>
      </c>
    </row>
    <row r="187" spans="1:16" x14ac:dyDescent="0.3">
      <c r="A187" s="420">
        <v>2</v>
      </c>
      <c r="C187" s="420">
        <f>IF(E187=E186,C186+1,1)</f>
        <v>30</v>
      </c>
      <c r="D187" s="420">
        <f>IF(K187=K186,D186,C187)</f>
        <v>29</v>
      </c>
      <c r="E187" s="420">
        <f>10+VALUE(RIGHT(LEFT(G187,3),1))</f>
        <v>15</v>
      </c>
      <c r="F187" s="420" t="str">
        <f>RIGHT(G187,2) &amp; IF(A187&lt;2,"x","")</f>
        <v>pm</v>
      </c>
      <c r="G187" s="420" t="s">
        <v>719</v>
      </c>
      <c r="H187" s="420" t="s">
        <v>227</v>
      </c>
      <c r="I187" s="420" t="s">
        <v>720</v>
      </c>
      <c r="K187" s="421">
        <f>LOOKUP(1E+100,M187:AB187)</f>
        <v>2200</v>
      </c>
      <c r="M187" s="421">
        <v>2200</v>
      </c>
    </row>
    <row r="188" spans="1:16" x14ac:dyDescent="0.3">
      <c r="A188" s="420">
        <v>4</v>
      </c>
      <c r="C188" s="420">
        <f>IF(E188=E187,C187+1,1)</f>
        <v>31</v>
      </c>
      <c r="D188" s="420">
        <f>IF(K188=K187,D187,C188)</f>
        <v>31</v>
      </c>
      <c r="E188" s="420">
        <f>10+VALUE(RIGHT(LEFT(G188,3),1))</f>
        <v>15</v>
      </c>
      <c r="F188" s="420" t="str">
        <f>RIGHT(G188,2) &amp; IF(A188&lt;2,"x","")</f>
        <v>pm</v>
      </c>
      <c r="G188" s="420" t="s">
        <v>729</v>
      </c>
      <c r="H188" s="420" t="s">
        <v>318</v>
      </c>
      <c r="I188" s="420" t="s">
        <v>730</v>
      </c>
      <c r="K188" s="421">
        <f>LOOKUP(1E+100,M188:AB188)</f>
        <v>2181.9666302120004</v>
      </c>
      <c r="M188" s="421">
        <v>2100</v>
      </c>
      <c r="N188" s="420">
        <v>2157.5785645731467</v>
      </c>
      <c r="P188" s="420">
        <v>2181.9666302120004</v>
      </c>
    </row>
    <row r="189" spans="1:16" x14ac:dyDescent="0.3">
      <c r="A189" s="420">
        <v>5</v>
      </c>
      <c r="C189" s="420">
        <f>IF(E189=E188,C188+1,1)</f>
        <v>32</v>
      </c>
      <c r="D189" s="420">
        <f>IF(K189=K188,D188,C189)</f>
        <v>32</v>
      </c>
      <c r="E189" s="420">
        <f>10+VALUE(RIGHT(LEFT(G189,3),1))</f>
        <v>15</v>
      </c>
      <c r="F189" s="420" t="str">
        <f>RIGHT(G189,2) &amp; IF(A189&lt;2,"x","")</f>
        <v>pm</v>
      </c>
      <c r="G189" s="420" t="s">
        <v>714</v>
      </c>
      <c r="H189" s="420" t="s">
        <v>715</v>
      </c>
      <c r="I189" s="420" t="s">
        <v>716</v>
      </c>
      <c r="K189" s="421">
        <f>LOOKUP(1E+100,M189:AB189)</f>
        <v>2173.5347882407832</v>
      </c>
      <c r="M189" s="421">
        <v>2240</v>
      </c>
      <c r="P189" s="420">
        <v>2173.5347882407832</v>
      </c>
    </row>
    <row r="190" spans="1:16" x14ac:dyDescent="0.3">
      <c r="A190" s="420">
        <v>4</v>
      </c>
      <c r="C190" s="420">
        <f>IF(E190=E189,C189+1,1)</f>
        <v>33</v>
      </c>
      <c r="D190" s="420">
        <f>IF(K190=K189,D189,C190)</f>
        <v>33</v>
      </c>
      <c r="E190" s="420">
        <f>10+VALUE(RIGHT(LEFT(G190,3),1))</f>
        <v>15</v>
      </c>
      <c r="F190" s="420" t="str">
        <f>RIGHT(G190,2) &amp; IF(A190&lt;2,"x","")</f>
        <v>pm</v>
      </c>
      <c r="G190" s="420" t="s">
        <v>750</v>
      </c>
      <c r="H190" s="420" t="s">
        <v>751</v>
      </c>
      <c r="I190" s="420" t="s">
        <v>752</v>
      </c>
      <c r="K190" s="421">
        <f>LOOKUP(1E+100,M190:AB190)</f>
        <v>2100.4547618272268</v>
      </c>
      <c r="M190" s="421">
        <v>2000</v>
      </c>
      <c r="P190" s="420">
        <v>2100.4547618272268</v>
      </c>
    </row>
    <row r="191" spans="1:16" x14ac:dyDescent="0.3">
      <c r="A191" s="420">
        <v>3</v>
      </c>
      <c r="C191" s="420">
        <f>IF(E191=E190,C190+1,1)</f>
        <v>34</v>
      </c>
      <c r="D191" s="420">
        <f>IF(K191=K190,D190,C191)</f>
        <v>34</v>
      </c>
      <c r="E191" s="420">
        <f>10+VALUE(RIGHT(LEFT(G191,3),1))</f>
        <v>15</v>
      </c>
      <c r="F191" s="420" t="str">
        <f>RIGHT(G191,2) &amp; IF(A191&lt;2,"x","")</f>
        <v>pm</v>
      </c>
      <c r="G191" s="420" t="s">
        <v>726</v>
      </c>
      <c r="H191" s="420" t="s">
        <v>727</v>
      </c>
      <c r="I191" s="420" t="s">
        <v>728</v>
      </c>
      <c r="K191" s="421">
        <f>LOOKUP(1E+100,M191:AB191)</f>
        <v>2098.3727680075549</v>
      </c>
      <c r="M191" s="421">
        <v>2133.3333333333335</v>
      </c>
      <c r="O191" s="420">
        <v>2098.3727680075549</v>
      </c>
    </row>
    <row r="192" spans="1:16" x14ac:dyDescent="0.3">
      <c r="A192" s="420">
        <v>5</v>
      </c>
      <c r="C192" s="420">
        <f>IF(E192=E191,C191+1,1)</f>
        <v>35</v>
      </c>
      <c r="D192" s="420">
        <f>IF(K192=K191,D191,C192)</f>
        <v>35</v>
      </c>
      <c r="E192" s="420">
        <f>10+VALUE(RIGHT(LEFT(G192,3),1))</f>
        <v>15</v>
      </c>
      <c r="F192" s="420" t="str">
        <f>RIGHT(G192,2) &amp; IF(A192&lt;2,"x","")</f>
        <v>pm</v>
      </c>
      <c r="G192" s="420" t="s">
        <v>731</v>
      </c>
      <c r="H192" s="420" t="s">
        <v>305</v>
      </c>
      <c r="I192" s="420" t="s">
        <v>732</v>
      </c>
      <c r="K192" s="421">
        <f>LOOKUP(1E+100,M192:AB192)</f>
        <v>2069.0723637688607</v>
      </c>
      <c r="M192" s="421">
        <v>2080</v>
      </c>
      <c r="N192" s="420">
        <v>2069.0723637688607</v>
      </c>
    </row>
    <row r="193" spans="1:16" x14ac:dyDescent="0.3">
      <c r="A193" s="420">
        <v>2</v>
      </c>
      <c r="C193" s="420">
        <f>IF(E193=E192,C192+1,1)</f>
        <v>36</v>
      </c>
      <c r="D193" s="420">
        <f>IF(K193=K192,D192,C193)</f>
        <v>36</v>
      </c>
      <c r="E193" s="420">
        <f>10+VALUE(RIGHT(LEFT(G193,3),1))</f>
        <v>15</v>
      </c>
      <c r="F193" s="420" t="str">
        <f>RIGHT(G193,2) &amp; IF(A193&lt;2,"x","")</f>
        <v>pm</v>
      </c>
      <c r="G193" s="420" t="s">
        <v>741</v>
      </c>
      <c r="H193" s="420" t="s">
        <v>742</v>
      </c>
      <c r="I193" s="420" t="s">
        <v>743</v>
      </c>
      <c r="K193" s="421">
        <f>LOOKUP(1E+100,M193:AB193)</f>
        <v>2064.8623824177516</v>
      </c>
      <c r="M193" s="421">
        <v>2000</v>
      </c>
      <c r="N193" s="420">
        <v>2064.8623824177516</v>
      </c>
    </row>
    <row r="194" spans="1:16" x14ac:dyDescent="0.3">
      <c r="A194" s="420">
        <v>3</v>
      </c>
      <c r="C194" s="420">
        <f>IF(E194=E193,C193+1,1)</f>
        <v>37</v>
      </c>
      <c r="D194" s="420">
        <f>IF(K194=K193,D193,C194)</f>
        <v>37</v>
      </c>
      <c r="E194" s="420">
        <f>10+VALUE(RIGHT(LEFT(G194,3),1))</f>
        <v>15</v>
      </c>
      <c r="F194" s="420" t="str">
        <f>RIGHT(G194,2) &amp; IF(A194&lt;2,"x","")</f>
        <v>pm</v>
      </c>
      <c r="G194" s="420" t="s">
        <v>739</v>
      </c>
      <c r="H194" s="420" t="s">
        <v>250</v>
      </c>
      <c r="I194" s="420" t="s">
        <v>740</v>
      </c>
      <c r="K194" s="421">
        <f>LOOKUP(1E+100,M194:AB194)</f>
        <v>2049.5374066277782</v>
      </c>
      <c r="M194" s="421">
        <v>2000</v>
      </c>
      <c r="N194" s="420">
        <v>2049.5374066277782</v>
      </c>
    </row>
    <row r="195" spans="1:16" x14ac:dyDescent="0.3">
      <c r="A195" s="420">
        <v>6</v>
      </c>
      <c r="C195" s="420">
        <f>IF(E195=E194,C194+1,1)</f>
        <v>38</v>
      </c>
      <c r="D195" s="420">
        <f>IF(K195=K194,D194,C195)</f>
        <v>38</v>
      </c>
      <c r="E195" s="420">
        <f>10+VALUE(RIGHT(LEFT(G195,3),1))</f>
        <v>15</v>
      </c>
      <c r="F195" s="420" t="str">
        <f>RIGHT(G195,2) &amp; IF(A195&lt;2,"x","")</f>
        <v>pm</v>
      </c>
      <c r="G195" s="420" t="s">
        <v>765</v>
      </c>
      <c r="H195" s="420" t="s">
        <v>334</v>
      </c>
      <c r="I195" s="420" t="s">
        <v>766</v>
      </c>
      <c r="K195" s="421">
        <f>LOOKUP(1E+100,M195:AB195)</f>
        <v>2029.7452003979715</v>
      </c>
      <c r="M195" s="421">
        <v>2000</v>
      </c>
      <c r="N195" s="420">
        <v>1927.6957131566237</v>
      </c>
      <c r="P195" s="420">
        <v>2029.7452003979715</v>
      </c>
    </row>
    <row r="196" spans="1:16" x14ac:dyDescent="0.3">
      <c r="A196" s="420">
        <v>2</v>
      </c>
      <c r="C196" s="420">
        <f>IF(E196=E195,C195+1,1)</f>
        <v>39</v>
      </c>
      <c r="D196" s="420">
        <f>IF(K196=K195,D195,C196)</f>
        <v>39</v>
      </c>
      <c r="E196" s="420">
        <f>10+VALUE(RIGHT(LEFT(G196,3),1))</f>
        <v>15</v>
      </c>
      <c r="F196" s="420" t="str">
        <f>RIGHT(G196,2) &amp; IF(A196&lt;2,"x","")</f>
        <v>pm</v>
      </c>
      <c r="G196" s="423" t="s">
        <v>1067</v>
      </c>
      <c r="H196" s="423" t="s">
        <v>1068</v>
      </c>
      <c r="I196" s="423" t="s">
        <v>1069</v>
      </c>
      <c r="K196" s="421">
        <f>LOOKUP(1E+100,M196:AB196)</f>
        <v>2022.9770397763709</v>
      </c>
      <c r="M196" s="421">
        <v>2000</v>
      </c>
      <c r="P196" s="420">
        <v>2022.9770397763709</v>
      </c>
    </row>
    <row r="197" spans="1:16" x14ac:dyDescent="0.3">
      <c r="A197" s="420">
        <v>3</v>
      </c>
      <c r="C197" s="420">
        <f>IF(E197=E196,C196+1,1)</f>
        <v>40</v>
      </c>
      <c r="D197" s="420">
        <f>IF(K197=K196,D196,C197)</f>
        <v>40</v>
      </c>
      <c r="E197" s="420">
        <f>10+VALUE(RIGHT(LEFT(G197,3),1))</f>
        <v>15</v>
      </c>
      <c r="F197" s="420" t="str">
        <f>RIGHT(G197,2) &amp; IF(A197&lt;2,"x","")</f>
        <v>pm</v>
      </c>
      <c r="G197" s="420" t="s">
        <v>737</v>
      </c>
      <c r="H197" s="420" t="s">
        <v>243</v>
      </c>
      <c r="I197" s="420" t="s">
        <v>738</v>
      </c>
      <c r="K197" s="421">
        <f>LOOKUP(1E+100,M197:AB197)</f>
        <v>2014.0023386288276</v>
      </c>
      <c r="M197" s="421">
        <v>2000</v>
      </c>
      <c r="N197" s="420">
        <v>2014.0023386288276</v>
      </c>
    </row>
    <row r="198" spans="1:16" x14ac:dyDescent="0.3">
      <c r="A198" s="420">
        <v>3</v>
      </c>
      <c r="C198" s="420">
        <f>IF(E198=E197,C197+1,1)</f>
        <v>41</v>
      </c>
      <c r="D198" s="420">
        <f>IF(K198=K197,D197,C198)</f>
        <v>41</v>
      </c>
      <c r="E198" s="420">
        <f>10+VALUE(RIGHT(LEFT(G198,3),1))</f>
        <v>15</v>
      </c>
      <c r="F198" s="420" t="str">
        <f>RIGHT(G198,2) &amp; IF(A198&lt;2,"x","")</f>
        <v>pm</v>
      </c>
      <c r="G198" s="420" t="s">
        <v>748</v>
      </c>
      <c r="H198" s="420" t="s">
        <v>328</v>
      </c>
      <c r="I198" s="420" t="s">
        <v>749</v>
      </c>
      <c r="K198" s="421">
        <f>LOOKUP(1E+100,M198:AB198)</f>
        <v>2000</v>
      </c>
      <c r="M198" s="421">
        <v>2000</v>
      </c>
    </row>
    <row r="199" spans="1:16" x14ac:dyDescent="0.3">
      <c r="A199" s="420">
        <v>3</v>
      </c>
      <c r="C199" s="420">
        <f>IF(E199=E198,C198+1,1)</f>
        <v>42</v>
      </c>
      <c r="D199" s="420">
        <f>IF(K199=K198,D198,C199)</f>
        <v>42</v>
      </c>
      <c r="E199" s="420">
        <f>10+VALUE(RIGHT(LEFT(G199,3),1))</f>
        <v>15</v>
      </c>
      <c r="F199" s="420" t="str">
        <f>RIGHT(G199,2) &amp; IF(A199&lt;2,"x","")</f>
        <v>pm</v>
      </c>
      <c r="G199" s="420" t="s">
        <v>735</v>
      </c>
      <c r="H199" s="420" t="s">
        <v>243</v>
      </c>
      <c r="I199" s="420" t="s">
        <v>736</v>
      </c>
      <c r="K199" s="421">
        <f>LOOKUP(1E+100,M199:AB199)</f>
        <v>1985.8911223651464</v>
      </c>
      <c r="M199" s="421">
        <v>2000</v>
      </c>
      <c r="N199" s="420">
        <v>1985.8911223651464</v>
      </c>
    </row>
    <row r="200" spans="1:16" x14ac:dyDescent="0.3">
      <c r="A200" s="420">
        <v>3</v>
      </c>
      <c r="C200" s="420">
        <f>IF(E200=E199,C199+1,1)</f>
        <v>43</v>
      </c>
      <c r="D200" s="420">
        <f>IF(K200=K199,D199,C200)</f>
        <v>43</v>
      </c>
      <c r="E200" s="420">
        <f>10+VALUE(RIGHT(LEFT(G200,3),1))</f>
        <v>15</v>
      </c>
      <c r="F200" s="420" t="str">
        <f>RIGHT(G200,2) &amp; IF(A200&lt;2,"x","")</f>
        <v>pm</v>
      </c>
      <c r="G200" s="420" t="s">
        <v>755</v>
      </c>
      <c r="H200" s="420" t="s">
        <v>331</v>
      </c>
      <c r="I200" s="420" t="s">
        <v>756</v>
      </c>
      <c r="K200" s="421">
        <f>LOOKUP(1E+100,M200:AB200)</f>
        <v>1972.3799548425379</v>
      </c>
      <c r="M200" s="421">
        <v>2000</v>
      </c>
      <c r="P200" s="420">
        <v>1972.3799548425379</v>
      </c>
    </row>
    <row r="201" spans="1:16" x14ac:dyDescent="0.3">
      <c r="A201" s="420">
        <v>6</v>
      </c>
      <c r="C201" s="420">
        <f>IF(E201=E200,C200+1,1)</f>
        <v>44</v>
      </c>
      <c r="D201" s="420">
        <f>IF(K201=K200,D200,C201)</f>
        <v>44</v>
      </c>
      <c r="E201" s="420">
        <f>10+VALUE(RIGHT(LEFT(G201,3),1))</f>
        <v>15</v>
      </c>
      <c r="F201" s="420" t="str">
        <f>RIGHT(G201,2) &amp; IF(A201&lt;2,"x","")</f>
        <v>pm</v>
      </c>
      <c r="G201" s="420" t="s">
        <v>763</v>
      </c>
      <c r="H201" s="420" t="s">
        <v>288</v>
      </c>
      <c r="I201" s="420" t="s">
        <v>764</v>
      </c>
      <c r="K201" s="421">
        <f>LOOKUP(1E+100,M201:AB201)</f>
        <v>1971.8032083037831</v>
      </c>
      <c r="M201" s="421">
        <v>2000</v>
      </c>
      <c r="P201" s="420">
        <v>1971.8032083037831</v>
      </c>
    </row>
    <row r="202" spans="1:16" x14ac:dyDescent="0.3">
      <c r="A202" s="420">
        <v>5</v>
      </c>
      <c r="C202" s="420">
        <f>IF(E202=E201,C201+1,1)</f>
        <v>45</v>
      </c>
      <c r="D202" s="420">
        <f>IF(K202=K201,D201,C202)</f>
        <v>45</v>
      </c>
      <c r="E202" s="420">
        <f>10+VALUE(RIGHT(LEFT(G202,3),1))</f>
        <v>15</v>
      </c>
      <c r="F202" s="420" t="str">
        <f>RIGHT(G202,2) &amp; IF(A202&lt;2,"x","")</f>
        <v>pm</v>
      </c>
      <c r="G202" s="420" t="s">
        <v>760</v>
      </c>
      <c r="H202" s="420" t="s">
        <v>761</v>
      </c>
      <c r="I202" s="420" t="s">
        <v>762</v>
      </c>
      <c r="K202" s="421">
        <f>LOOKUP(1E+100,M202:AB202)</f>
        <v>1916.4170326361775</v>
      </c>
      <c r="M202" s="421">
        <v>2000</v>
      </c>
      <c r="N202" s="420">
        <v>1916.4170326361775</v>
      </c>
    </row>
    <row r="203" spans="1:16" x14ac:dyDescent="0.3">
      <c r="A203" s="420">
        <v>7</v>
      </c>
      <c r="C203" s="420">
        <f>IF(E203=E202,C202+1,1)</f>
        <v>46</v>
      </c>
      <c r="D203" s="420">
        <f>IF(K203=K202,D202,C203)</f>
        <v>46</v>
      </c>
      <c r="E203" s="420">
        <f>10+VALUE(RIGHT(LEFT(G203,3),1))</f>
        <v>15</v>
      </c>
      <c r="F203" s="420" t="str">
        <f>RIGHT(G203,2) &amp; IF(A203&lt;2,"x","")</f>
        <v>pm</v>
      </c>
      <c r="G203" s="420" t="s">
        <v>744</v>
      </c>
      <c r="H203" s="420" t="s">
        <v>261</v>
      </c>
      <c r="I203" s="420" t="s">
        <v>745</v>
      </c>
      <c r="K203" s="421">
        <f>LOOKUP(1E+100,M203:AB203)</f>
        <v>1912.5278512157745</v>
      </c>
      <c r="M203" s="421">
        <v>2000</v>
      </c>
      <c r="N203" s="420">
        <v>1891.2531382656648</v>
      </c>
      <c r="P203" s="420">
        <v>1912.5278512157745</v>
      </c>
    </row>
    <row r="204" spans="1:16" x14ac:dyDescent="0.3">
      <c r="A204" s="420">
        <v>6</v>
      </c>
      <c r="C204" s="420">
        <f>IF(E204=E203,C203+1,1)</f>
        <v>47</v>
      </c>
      <c r="D204" s="420">
        <f>IF(K204=K203,D203,C204)</f>
        <v>47</v>
      </c>
      <c r="E204" s="420">
        <f>10+VALUE(RIGHT(LEFT(G204,3),1))</f>
        <v>15</v>
      </c>
      <c r="F204" s="420" t="str">
        <f>RIGHT(G204,2) &amp; IF(A204&lt;2,"x","")</f>
        <v>pm</v>
      </c>
      <c r="G204" s="420" t="s">
        <v>746</v>
      </c>
      <c r="H204" s="420" t="s">
        <v>224</v>
      </c>
      <c r="I204" s="420" t="s">
        <v>747</v>
      </c>
      <c r="K204" s="421">
        <f>LOOKUP(1E+100,M204:AB204)</f>
        <v>1907.0602982216196</v>
      </c>
      <c r="M204" s="421">
        <v>2000</v>
      </c>
      <c r="P204" s="420">
        <v>1907.0602982216196</v>
      </c>
    </row>
    <row r="205" spans="1:16" x14ac:dyDescent="0.3">
      <c r="A205" s="420">
        <v>6</v>
      </c>
      <c r="C205" s="420">
        <f>IF(E205=E204,C204+1,1)</f>
        <v>48</v>
      </c>
      <c r="D205" s="420">
        <f>IF(K205=K204,D204,C205)</f>
        <v>48</v>
      </c>
      <c r="E205" s="420">
        <f>10+VALUE(RIGHT(LEFT(G205,3),1))</f>
        <v>15</v>
      </c>
      <c r="F205" s="420" t="str">
        <f>RIGHT(G205,2) &amp; IF(A205&lt;2,"x","")</f>
        <v>pm</v>
      </c>
      <c r="G205" s="420" t="s">
        <v>757</v>
      </c>
      <c r="H205" s="420" t="s">
        <v>758</v>
      </c>
      <c r="I205" s="420" t="s">
        <v>759</v>
      </c>
      <c r="K205" s="421">
        <f>LOOKUP(1E+100,M205:AB205)</f>
        <v>1882.5235226783811</v>
      </c>
      <c r="M205" s="421">
        <v>2000</v>
      </c>
      <c r="N205" s="420">
        <v>1949.0271934580555</v>
      </c>
      <c r="P205" s="420">
        <v>1882.5235226783811</v>
      </c>
    </row>
    <row r="206" spans="1:16" x14ac:dyDescent="0.3">
      <c r="A206" s="420">
        <v>5</v>
      </c>
      <c r="C206" s="420">
        <f>IF(E206=E205,C205+1,1)</f>
        <v>49</v>
      </c>
      <c r="D206" s="420">
        <f>IF(K206=K205,D205,C206)</f>
        <v>49</v>
      </c>
      <c r="E206" s="420">
        <f>10+VALUE(RIGHT(LEFT(G206,3),1))</f>
        <v>15</v>
      </c>
      <c r="F206" s="420" t="str">
        <f>RIGHT(G206,2) &amp; IF(A206&lt;2,"x","")</f>
        <v>pm</v>
      </c>
      <c r="G206" s="420" t="s">
        <v>753</v>
      </c>
      <c r="H206" s="420" t="s">
        <v>331</v>
      </c>
      <c r="I206" s="420" t="s">
        <v>754</v>
      </c>
      <c r="K206" s="421">
        <f>LOOKUP(1E+100,M206:AB206)</f>
        <v>1878.0185952211898</v>
      </c>
      <c r="M206" s="421">
        <v>2000</v>
      </c>
      <c r="P206" s="420">
        <v>1878.0185952211898</v>
      </c>
    </row>
    <row r="207" spans="1:16" x14ac:dyDescent="0.3">
      <c r="A207" s="420">
        <v>3</v>
      </c>
      <c r="C207" s="420">
        <f>IF(E207=E206,C206+1,1)</f>
        <v>1</v>
      </c>
      <c r="D207" s="420">
        <f>IF(K207=K206,D206,C207)</f>
        <v>1</v>
      </c>
      <c r="E207" s="420">
        <f>10+VALUE(RIGHT(LEFT(G207,3),1))</f>
        <v>16</v>
      </c>
      <c r="F207" s="420" t="str">
        <f>RIGHT(G207,2) &amp; IF(A207&lt;2,"x","")</f>
        <v>pm</v>
      </c>
      <c r="G207" s="420" t="s">
        <v>784</v>
      </c>
      <c r="H207" s="420" t="s">
        <v>318</v>
      </c>
      <c r="I207" s="420" t="s">
        <v>785</v>
      </c>
      <c r="K207" s="421">
        <f>LOOKUP(1E+100,M207:AB207)</f>
        <v>2757.3384734737615</v>
      </c>
      <c r="M207" s="421">
        <v>2600</v>
      </c>
      <c r="N207" s="420">
        <v>2722.9696572781031</v>
      </c>
      <c r="P207" s="420">
        <v>2757.3384734737615</v>
      </c>
    </row>
    <row r="208" spans="1:16" x14ac:dyDescent="0.3">
      <c r="A208" s="420">
        <v>2</v>
      </c>
      <c r="C208" s="420">
        <f>IF(E208=E207,C207+1,1)</f>
        <v>2</v>
      </c>
      <c r="D208" s="420">
        <f>IF(K208=K207,D207,C208)</f>
        <v>2</v>
      </c>
      <c r="E208" s="420">
        <f>10+VALUE(RIGHT(LEFT(G208,3),1))</f>
        <v>16</v>
      </c>
      <c r="F208" s="420" t="str">
        <f>RIGHT(G208,2) &amp; IF(A208&lt;2,"x","")</f>
        <v>pm</v>
      </c>
      <c r="G208" s="420" t="s">
        <v>792</v>
      </c>
      <c r="H208" s="420" t="s">
        <v>328</v>
      </c>
      <c r="I208" s="420" t="s">
        <v>793</v>
      </c>
      <c r="K208" s="421">
        <f>LOOKUP(1E+100,M208:AB208)</f>
        <v>2705.5892446180078</v>
      </c>
      <c r="M208" s="421">
        <v>2600</v>
      </c>
      <c r="O208" s="420">
        <v>2705.5892446180078</v>
      </c>
    </row>
    <row r="209" spans="1:16" x14ac:dyDescent="0.3">
      <c r="A209" s="420">
        <v>2</v>
      </c>
      <c r="C209" s="420">
        <f>IF(E209=E208,C208+1,1)</f>
        <v>3</v>
      </c>
      <c r="D209" s="420">
        <f>IF(K209=K208,D208,C209)</f>
        <v>3</v>
      </c>
      <c r="E209" s="420">
        <f>10+VALUE(RIGHT(LEFT(G209,3),1))</f>
        <v>16</v>
      </c>
      <c r="F209" s="420" t="str">
        <f>RIGHT(G209,2) &amp; IF(A209&lt;2,"x","")</f>
        <v>pm</v>
      </c>
      <c r="G209" s="420" t="s">
        <v>817</v>
      </c>
      <c r="H209" s="420" t="s">
        <v>491</v>
      </c>
      <c r="I209" s="420" t="s">
        <v>818</v>
      </c>
      <c r="K209" s="421">
        <f>LOOKUP(1E+100,M209:AB209)</f>
        <v>2672.5719297904616</v>
      </c>
      <c r="M209" s="421">
        <v>2600</v>
      </c>
      <c r="P209" s="420">
        <v>2672.5719297904616</v>
      </c>
    </row>
    <row r="210" spans="1:16" x14ac:dyDescent="0.3">
      <c r="A210" s="420">
        <v>5</v>
      </c>
      <c r="C210" s="420">
        <f>IF(E210=E209,C209+1,1)</f>
        <v>4</v>
      </c>
      <c r="D210" s="420">
        <f>IF(K210=K209,D209,C210)</f>
        <v>4</v>
      </c>
      <c r="E210" s="420">
        <f>10+VALUE(RIGHT(LEFT(G210,3),1))</f>
        <v>16</v>
      </c>
      <c r="F210" s="420" t="str">
        <f>RIGHT(G210,2) &amp; IF(A210&lt;2,"x","")</f>
        <v>pm</v>
      </c>
      <c r="G210" s="420" t="s">
        <v>780</v>
      </c>
      <c r="H210" s="420" t="s">
        <v>261</v>
      </c>
      <c r="I210" s="420" t="s">
        <v>781</v>
      </c>
      <c r="K210" s="421">
        <f>LOOKUP(1E+100,M210:AB210)</f>
        <v>2659.5481757882421</v>
      </c>
      <c r="M210" s="421">
        <v>2600</v>
      </c>
      <c r="P210" s="420">
        <v>2659.5481757882421</v>
      </c>
    </row>
    <row r="211" spans="1:16" x14ac:dyDescent="0.3">
      <c r="A211" s="420">
        <v>2</v>
      </c>
      <c r="C211" s="420">
        <f>IF(E211=E210,C210+1,1)</f>
        <v>5</v>
      </c>
      <c r="D211" s="420">
        <f>IF(K211=K210,D210,C211)</f>
        <v>5</v>
      </c>
      <c r="E211" s="420">
        <f>10+VALUE(RIGHT(LEFT(G211,3),1))</f>
        <v>16</v>
      </c>
      <c r="F211" s="420" t="str">
        <f>RIGHT(G211,2) &amp; IF(A211&lt;2,"x","")</f>
        <v>pm</v>
      </c>
      <c r="G211" s="420" t="s">
        <v>852</v>
      </c>
      <c r="H211" s="420" t="s">
        <v>215</v>
      </c>
      <c r="I211" s="420" t="s">
        <v>853</v>
      </c>
      <c r="K211" s="421">
        <f>LOOKUP(1E+100,M211:AB211)</f>
        <v>2619.4647988942984</v>
      </c>
      <c r="M211" s="421">
        <v>2600</v>
      </c>
      <c r="P211" s="420">
        <v>2619.4647988942984</v>
      </c>
    </row>
    <row r="212" spans="1:16" x14ac:dyDescent="0.3">
      <c r="A212" s="420">
        <v>3</v>
      </c>
      <c r="C212" s="420">
        <f>IF(E212=E211,C211+1,1)</f>
        <v>6</v>
      </c>
      <c r="D212" s="420">
        <f>IF(K212=K211,D211,C212)</f>
        <v>6</v>
      </c>
      <c r="E212" s="420">
        <f>10+VALUE(RIGHT(LEFT(G212,3),1))</f>
        <v>16</v>
      </c>
      <c r="F212" s="420" t="str">
        <f>RIGHT(G212,2) &amp; IF(A212&lt;2,"x","")</f>
        <v>pm</v>
      </c>
      <c r="G212" s="420" t="s">
        <v>850</v>
      </c>
      <c r="H212" s="420" t="s">
        <v>224</v>
      </c>
      <c r="I212" s="420" t="s">
        <v>851</v>
      </c>
      <c r="K212" s="421">
        <f>LOOKUP(1E+100,M212:AB212)</f>
        <v>2600</v>
      </c>
      <c r="M212" s="421">
        <v>2600</v>
      </c>
    </row>
    <row r="213" spans="1:16" x14ac:dyDescent="0.3">
      <c r="A213" s="420">
        <v>3</v>
      </c>
      <c r="C213" s="420">
        <f>IF(E213=E212,C212+1,1)</f>
        <v>7</v>
      </c>
      <c r="D213" s="420">
        <f>IF(K213=K212,D212,C213)</f>
        <v>6</v>
      </c>
      <c r="E213" s="420">
        <f>10+VALUE(RIGHT(LEFT(G213,3),1))</f>
        <v>16</v>
      </c>
      <c r="F213" s="420" t="str">
        <f>RIGHT(G213,2) &amp; IF(A213&lt;2,"x","")</f>
        <v>pm</v>
      </c>
      <c r="G213" s="420" t="s">
        <v>790</v>
      </c>
      <c r="H213" s="420" t="s">
        <v>224</v>
      </c>
      <c r="I213" s="420" t="s">
        <v>791</v>
      </c>
      <c r="K213" s="421">
        <f>LOOKUP(1E+100,M213:AB213)</f>
        <v>2600</v>
      </c>
      <c r="M213" s="421">
        <v>2600</v>
      </c>
    </row>
    <row r="214" spans="1:16" x14ac:dyDescent="0.3">
      <c r="A214" s="420">
        <v>2</v>
      </c>
      <c r="C214" s="420">
        <f>IF(E214=E213,C213+1,1)</f>
        <v>8</v>
      </c>
      <c r="D214" s="420">
        <f>IF(K214=K213,D213,C214)</f>
        <v>6</v>
      </c>
      <c r="E214" s="420">
        <f>10+VALUE(RIGHT(LEFT(G214,3),1))</f>
        <v>16</v>
      </c>
      <c r="F214" s="420" t="str">
        <f>RIGHT(G214,2) &amp; IF(A214&lt;2,"x","")</f>
        <v>pm</v>
      </c>
      <c r="G214" s="420" t="s">
        <v>796</v>
      </c>
      <c r="H214" s="420" t="s">
        <v>349</v>
      </c>
      <c r="I214" s="420" t="s">
        <v>797</v>
      </c>
      <c r="K214" s="421">
        <f>LOOKUP(1E+100,M214:AB214)</f>
        <v>2600</v>
      </c>
      <c r="M214" s="421">
        <v>2600</v>
      </c>
    </row>
    <row r="215" spans="1:16" x14ac:dyDescent="0.3">
      <c r="A215" s="420">
        <v>3</v>
      </c>
      <c r="C215" s="420">
        <f>IF(E215=E214,C214+1,1)</f>
        <v>9</v>
      </c>
      <c r="D215" s="420">
        <f>IF(K215=K214,D214,C215)</f>
        <v>6</v>
      </c>
      <c r="E215" s="420">
        <f>10+VALUE(RIGHT(LEFT(G215,3),1))</f>
        <v>16</v>
      </c>
      <c r="F215" s="420" t="str">
        <f>RIGHT(G215,2) &amp; IF(A215&lt;2,"x","")</f>
        <v>pm</v>
      </c>
      <c r="G215" s="420" t="s">
        <v>809</v>
      </c>
      <c r="H215" s="420" t="s">
        <v>288</v>
      </c>
      <c r="I215" s="420" t="s">
        <v>810</v>
      </c>
      <c r="K215" s="421">
        <f>LOOKUP(1E+100,M215:AB215)</f>
        <v>2600</v>
      </c>
      <c r="M215" s="421">
        <v>2600</v>
      </c>
    </row>
    <row r="216" spans="1:16" x14ac:dyDescent="0.3">
      <c r="A216" s="420">
        <v>2</v>
      </c>
      <c r="C216" s="420">
        <f>IF(E216=E215,C215+1,1)</f>
        <v>10</v>
      </c>
      <c r="D216" s="420">
        <f>IF(K216=K215,D215,C216)</f>
        <v>6</v>
      </c>
      <c r="E216" s="420">
        <f>10+VALUE(RIGHT(LEFT(G216,3),1))</f>
        <v>16</v>
      </c>
      <c r="F216" s="420" t="str">
        <f>RIGHT(G216,2) &amp; IF(A216&lt;2,"x","")</f>
        <v>pm</v>
      </c>
      <c r="G216" s="420" t="s">
        <v>807</v>
      </c>
      <c r="H216" s="420" t="s">
        <v>283</v>
      </c>
      <c r="I216" s="420" t="s">
        <v>808</v>
      </c>
      <c r="K216" s="421">
        <f>LOOKUP(1E+100,M216:AB216)</f>
        <v>2600</v>
      </c>
      <c r="M216" s="421">
        <v>2600</v>
      </c>
    </row>
    <row r="217" spans="1:16" x14ac:dyDescent="0.3">
      <c r="A217" s="420">
        <v>3</v>
      </c>
      <c r="C217" s="420">
        <f>IF(E217=E216,C216+1,1)</f>
        <v>11</v>
      </c>
      <c r="D217" s="420">
        <f>IF(K217=K216,D216,C217)</f>
        <v>6</v>
      </c>
      <c r="E217" s="420">
        <f>10+VALUE(RIGHT(LEFT(G217,3),1))</f>
        <v>16</v>
      </c>
      <c r="F217" s="420" t="str">
        <f>RIGHT(G217,2) &amp; IF(A217&lt;2,"x","")</f>
        <v>pm</v>
      </c>
      <c r="G217" s="420" t="s">
        <v>821</v>
      </c>
      <c r="H217" s="420" t="s">
        <v>221</v>
      </c>
      <c r="I217" s="420" t="s">
        <v>822</v>
      </c>
      <c r="K217" s="421">
        <f>LOOKUP(1E+100,M217:AB217)</f>
        <v>2600</v>
      </c>
      <c r="M217" s="421">
        <v>2600</v>
      </c>
    </row>
    <row r="218" spans="1:16" x14ac:dyDescent="0.3">
      <c r="A218" s="420">
        <v>3</v>
      </c>
      <c r="C218" s="420">
        <f>IF(E218=E217,C217+1,1)</f>
        <v>12</v>
      </c>
      <c r="D218" s="420">
        <f>IF(K218=K217,D217,C218)</f>
        <v>12</v>
      </c>
      <c r="E218" s="420">
        <f>10+VALUE(RIGHT(LEFT(G218,3),1))</f>
        <v>16</v>
      </c>
      <c r="F218" s="420" t="str">
        <f>RIGHT(G218,2) &amp; IF(A218&lt;2,"x","")</f>
        <v>pm</v>
      </c>
      <c r="G218" s="420" t="s">
        <v>860</v>
      </c>
      <c r="H218" s="420" t="s">
        <v>227</v>
      </c>
      <c r="I218" s="420" t="s">
        <v>861</v>
      </c>
      <c r="K218" s="421">
        <f>LOOKUP(1E+100,M218:AB218)</f>
        <v>2581.2018990502715</v>
      </c>
      <c r="M218" s="421">
        <v>2466.6666666666665</v>
      </c>
      <c r="P218" s="420">
        <v>2581.2018990502715</v>
      </c>
    </row>
    <row r="219" spans="1:16" x14ac:dyDescent="0.3">
      <c r="A219" s="420">
        <v>2</v>
      </c>
      <c r="C219" s="420">
        <f>IF(E219=E218,C218+1,1)</f>
        <v>13</v>
      </c>
      <c r="D219" s="420">
        <f>IF(K219=K218,D218,C219)</f>
        <v>13</v>
      </c>
      <c r="E219" s="420">
        <f>10+VALUE(RIGHT(LEFT(G219,3),1))</f>
        <v>16</v>
      </c>
      <c r="F219" s="420" t="str">
        <f>RIGHT(G219,2) &amp; IF(A219&lt;2,"x","")</f>
        <v>pm</v>
      </c>
      <c r="G219" s="420" t="s">
        <v>776</v>
      </c>
      <c r="H219" s="420" t="s">
        <v>243</v>
      </c>
      <c r="I219" s="420" t="s">
        <v>777</v>
      </c>
      <c r="K219" s="421">
        <f>LOOKUP(1E+100,M219:AB219)</f>
        <v>2580.3648746748836</v>
      </c>
      <c r="M219" s="421">
        <v>2600</v>
      </c>
      <c r="P219" s="420">
        <v>2580.3648746748836</v>
      </c>
    </row>
    <row r="220" spans="1:16" x14ac:dyDescent="0.3">
      <c r="A220" s="420">
        <v>2</v>
      </c>
      <c r="C220" s="420">
        <f>IF(E220=E219,C219+1,1)</f>
        <v>14</v>
      </c>
      <c r="D220" s="420">
        <f>IF(K220=K219,D219,C220)</f>
        <v>14</v>
      </c>
      <c r="E220" s="420">
        <f>10+VALUE(RIGHT(LEFT(G220,3),1))</f>
        <v>16</v>
      </c>
      <c r="F220" s="420" t="str">
        <f>RIGHT(G220,2) &amp; IF(A220&lt;2,"x","")</f>
        <v>pm</v>
      </c>
      <c r="G220" s="420" t="s">
        <v>819</v>
      </c>
      <c r="H220" s="420" t="s">
        <v>491</v>
      </c>
      <c r="I220" s="420" t="s">
        <v>820</v>
      </c>
      <c r="K220" s="421">
        <f>LOOKUP(1E+100,M220:AB220)</f>
        <v>2575.1856509639724</v>
      </c>
      <c r="M220" s="421">
        <v>2600</v>
      </c>
      <c r="P220" s="420">
        <v>2575.1856509639724</v>
      </c>
    </row>
    <row r="221" spans="1:16" x14ac:dyDescent="0.3">
      <c r="A221" s="420">
        <v>3</v>
      </c>
      <c r="C221" s="420">
        <f>IF(E221=E220,C220+1,1)</f>
        <v>15</v>
      </c>
      <c r="D221" s="420">
        <f>IF(K221=K220,D220,C221)</f>
        <v>15</v>
      </c>
      <c r="E221" s="420">
        <f>10+VALUE(RIGHT(LEFT(G221,3),1))</f>
        <v>16</v>
      </c>
      <c r="F221" s="420" t="str">
        <f>RIGHT(G221,2) &amp; IF(A221&lt;2,"x","")</f>
        <v>pm</v>
      </c>
      <c r="G221" s="420" t="s">
        <v>778</v>
      </c>
      <c r="H221" s="420" t="s">
        <v>256</v>
      </c>
      <c r="I221" s="420" t="s">
        <v>779</v>
      </c>
      <c r="K221" s="421">
        <f>LOOKUP(1E+100,M221:AB221)</f>
        <v>2567.1046561128701</v>
      </c>
      <c r="M221" s="421">
        <v>2600</v>
      </c>
      <c r="O221" s="420">
        <v>2672.5298221415514</v>
      </c>
      <c r="P221" s="420">
        <v>2567.1046561128701</v>
      </c>
    </row>
    <row r="222" spans="1:16" x14ac:dyDescent="0.3">
      <c r="A222" s="420">
        <v>4</v>
      </c>
      <c r="C222" s="420">
        <f>IF(E222=E221,C221+1,1)</f>
        <v>16</v>
      </c>
      <c r="D222" s="420">
        <f>IF(K222=K221,D221,C222)</f>
        <v>16</v>
      </c>
      <c r="E222" s="420">
        <f>10+VALUE(RIGHT(LEFT(G222,3),1))</f>
        <v>16</v>
      </c>
      <c r="F222" s="420" t="str">
        <f>RIGHT(G222,2) &amp; IF(A222&lt;2,"x","")</f>
        <v>pm</v>
      </c>
      <c r="G222" s="420" t="s">
        <v>800</v>
      </c>
      <c r="H222" s="420" t="s">
        <v>801</v>
      </c>
      <c r="I222" s="420" t="s">
        <v>802</v>
      </c>
      <c r="K222" s="421">
        <f>LOOKUP(1E+100,M222:AB222)</f>
        <v>2563.6487837848899</v>
      </c>
      <c r="M222" s="421">
        <v>2600</v>
      </c>
      <c r="O222" s="420">
        <v>2563.6487837848899</v>
      </c>
    </row>
    <row r="223" spans="1:16" x14ac:dyDescent="0.3">
      <c r="A223" s="420">
        <v>2</v>
      </c>
      <c r="C223" s="420">
        <f>IF(E223=E222,C222+1,1)</f>
        <v>17</v>
      </c>
      <c r="D223" s="420">
        <f>IF(K223=K222,D222,C223)</f>
        <v>17</v>
      </c>
      <c r="E223" s="420">
        <f>10+VALUE(RIGHT(LEFT(G223,3),1))</f>
        <v>16</v>
      </c>
      <c r="F223" s="420" t="str">
        <f>RIGHT(G223,2) &amp; IF(A223&lt;2,"x","")</f>
        <v>pm</v>
      </c>
      <c r="G223" s="420" t="s">
        <v>868</v>
      </c>
      <c r="H223" s="420" t="s">
        <v>200</v>
      </c>
      <c r="I223" s="420" t="s">
        <v>869</v>
      </c>
      <c r="K223" s="421">
        <f>LOOKUP(1E+100,M223:AB223)</f>
        <v>2559.6004804126883</v>
      </c>
      <c r="M223" s="421">
        <v>2400</v>
      </c>
      <c r="P223" s="420">
        <v>2559.6004804126883</v>
      </c>
    </row>
    <row r="224" spans="1:16" x14ac:dyDescent="0.3">
      <c r="A224" s="420">
        <v>7</v>
      </c>
      <c r="C224" s="420">
        <f>IF(E224=E223,C223+1,1)</f>
        <v>18</v>
      </c>
      <c r="D224" s="420">
        <f>IF(K224=K223,D223,C224)</f>
        <v>18</v>
      </c>
      <c r="E224" s="420">
        <f>10+VALUE(RIGHT(LEFT(G224,3),1))</f>
        <v>16</v>
      </c>
      <c r="F224" s="420" t="str">
        <f>RIGHT(G224,2) &amp; IF(A224&lt;2,"x","")</f>
        <v>pm</v>
      </c>
      <c r="G224" s="420" t="s">
        <v>794</v>
      </c>
      <c r="H224" s="420" t="s">
        <v>278</v>
      </c>
      <c r="I224" s="420" t="s">
        <v>795</v>
      </c>
      <c r="K224" s="421">
        <f>LOOKUP(1E+100,M224:AB224)</f>
        <v>2553.0896955519429</v>
      </c>
      <c r="M224" s="421">
        <v>2600</v>
      </c>
      <c r="O224" s="420">
        <v>2593.0976126550672</v>
      </c>
      <c r="P224" s="420">
        <v>2553.0896955519429</v>
      </c>
    </row>
    <row r="225" spans="1:16" x14ac:dyDescent="0.3">
      <c r="A225" s="420">
        <v>5</v>
      </c>
      <c r="C225" s="420">
        <f>IF(E225=E224,C224+1,1)</f>
        <v>19</v>
      </c>
      <c r="D225" s="420">
        <f>IF(K225=K224,D224,C225)</f>
        <v>19</v>
      </c>
      <c r="E225" s="420">
        <f>10+VALUE(RIGHT(LEFT(G225,3),1))</f>
        <v>16</v>
      </c>
      <c r="F225" s="420" t="str">
        <f>RIGHT(G225,2) &amp; IF(A225&lt;2,"x","")</f>
        <v>pm</v>
      </c>
      <c r="G225" s="420" t="s">
        <v>811</v>
      </c>
      <c r="H225" s="420" t="s">
        <v>288</v>
      </c>
      <c r="I225" s="420" t="s">
        <v>812</v>
      </c>
      <c r="K225" s="421">
        <f>LOOKUP(1E+100,M225:AB225)</f>
        <v>2527.0281820476162</v>
      </c>
      <c r="M225" s="421">
        <v>2600</v>
      </c>
      <c r="O225" s="420">
        <v>2527.0281820476162</v>
      </c>
    </row>
    <row r="226" spans="1:16" x14ac:dyDescent="0.3">
      <c r="A226" s="420">
        <v>5</v>
      </c>
      <c r="C226" s="420">
        <f>IF(E226=E225,C225+1,1)</f>
        <v>20</v>
      </c>
      <c r="D226" s="420">
        <f>IF(K226=K225,D225,C226)</f>
        <v>20</v>
      </c>
      <c r="E226" s="420">
        <f>10+VALUE(RIGHT(LEFT(G226,3),1))</f>
        <v>16</v>
      </c>
      <c r="F226" s="420" t="str">
        <f>RIGHT(G226,2) &amp; IF(A226&lt;2,"x","")</f>
        <v>pm</v>
      </c>
      <c r="G226" s="420" t="s">
        <v>803</v>
      </c>
      <c r="H226" s="420" t="s">
        <v>715</v>
      </c>
      <c r="I226" s="420" t="s">
        <v>804</v>
      </c>
      <c r="K226" s="421">
        <f>LOOKUP(1E+100,M226:AB226)</f>
        <v>2524.8183993026673</v>
      </c>
      <c r="M226" s="421">
        <v>2600</v>
      </c>
      <c r="P226" s="420">
        <v>2524.8183993026673</v>
      </c>
    </row>
    <row r="227" spans="1:16" x14ac:dyDescent="0.3">
      <c r="A227" s="420">
        <v>6</v>
      </c>
      <c r="C227" s="420">
        <f>IF(E227=E226,C226+1,1)</f>
        <v>21</v>
      </c>
      <c r="D227" s="420">
        <f>IF(K227=K226,D226,C227)</f>
        <v>21</v>
      </c>
      <c r="E227" s="420">
        <f>10+VALUE(RIGHT(LEFT(G227,3),1))</f>
        <v>16</v>
      </c>
      <c r="F227" s="420" t="str">
        <f>RIGHT(G227,2) &amp; IF(A227&lt;2,"x","")</f>
        <v>pm</v>
      </c>
      <c r="G227" s="420" t="s">
        <v>856</v>
      </c>
      <c r="H227" s="420" t="s">
        <v>224</v>
      </c>
      <c r="I227" s="420" t="s">
        <v>857</v>
      </c>
      <c r="K227" s="421">
        <f>LOOKUP(1E+100,M227:AB227)</f>
        <v>2506.500676192396</v>
      </c>
      <c r="M227" s="421">
        <v>2533.3333333333335</v>
      </c>
      <c r="O227" s="420">
        <v>2506.500676192396</v>
      </c>
    </row>
    <row r="228" spans="1:16" x14ac:dyDescent="0.3">
      <c r="A228" s="420">
        <v>5</v>
      </c>
      <c r="C228" s="420">
        <f>IF(E228=E227,C227+1,1)</f>
        <v>22</v>
      </c>
      <c r="D228" s="420">
        <f>IF(K228=K227,D227,C228)</f>
        <v>22</v>
      </c>
      <c r="E228" s="420">
        <f>10+VALUE(RIGHT(LEFT(G228,3),1))</f>
        <v>16</v>
      </c>
      <c r="F228" s="420" t="str">
        <f>RIGHT(G228,2) &amp; IF(A228&lt;2,"x","")</f>
        <v>pm</v>
      </c>
      <c r="G228" s="420" t="s">
        <v>813</v>
      </c>
      <c r="H228" s="420" t="s">
        <v>288</v>
      </c>
      <c r="I228" s="420" t="s">
        <v>814</v>
      </c>
      <c r="K228" s="421">
        <f>LOOKUP(1E+100,M228:AB228)</f>
        <v>2506.0968226223522</v>
      </c>
      <c r="M228" s="421">
        <v>2600</v>
      </c>
      <c r="O228" s="420">
        <v>2506.0968226223522</v>
      </c>
    </row>
    <row r="229" spans="1:16" x14ac:dyDescent="0.3">
      <c r="A229" s="420">
        <v>4</v>
      </c>
      <c r="C229" s="420">
        <f>IF(E229=E228,C228+1,1)</f>
        <v>23</v>
      </c>
      <c r="D229" s="420">
        <f>IF(K229=K228,D228,C229)</f>
        <v>23</v>
      </c>
      <c r="E229" s="420">
        <f>10+VALUE(RIGHT(LEFT(G229,3),1))</f>
        <v>16</v>
      </c>
      <c r="F229" s="420" t="str">
        <f>RIGHT(G229,2) &amp; IF(A229&lt;2,"x","")</f>
        <v>pm</v>
      </c>
      <c r="G229" s="420" t="s">
        <v>805</v>
      </c>
      <c r="H229" s="420" t="s">
        <v>215</v>
      </c>
      <c r="I229" s="420" t="s">
        <v>806</v>
      </c>
      <c r="K229" s="421">
        <f>LOOKUP(1E+100,M229:AB229)</f>
        <v>2503.9998422119766</v>
      </c>
      <c r="M229" s="421">
        <v>2600</v>
      </c>
      <c r="P229" s="420">
        <v>2503.9998422119766</v>
      </c>
    </row>
    <row r="230" spans="1:16" x14ac:dyDescent="0.3">
      <c r="A230" s="420">
        <v>5</v>
      </c>
      <c r="C230" s="420">
        <f>IF(E230=E229,C229+1,1)</f>
        <v>24</v>
      </c>
      <c r="D230" s="420">
        <f>IF(K230=K229,D229,C230)</f>
        <v>24</v>
      </c>
      <c r="E230" s="420">
        <f>10+VALUE(RIGHT(LEFT(G230,3),1))</f>
        <v>16</v>
      </c>
      <c r="F230" s="420" t="str">
        <f>RIGHT(G230,2) &amp; IF(A230&lt;2,"x","")</f>
        <v>pm</v>
      </c>
      <c r="G230" s="420" t="s">
        <v>882</v>
      </c>
      <c r="H230" s="420" t="s">
        <v>305</v>
      </c>
      <c r="I230" s="420" t="s">
        <v>883</v>
      </c>
      <c r="K230" s="421">
        <f>LOOKUP(1E+100,M230:AB230)</f>
        <v>2452.2858462021122</v>
      </c>
      <c r="M230" s="421">
        <v>2320</v>
      </c>
      <c r="N230" s="420">
        <v>2349.5946590373273</v>
      </c>
      <c r="P230" s="420">
        <v>2452.2858462021122</v>
      </c>
    </row>
    <row r="231" spans="1:16" x14ac:dyDescent="0.3">
      <c r="A231" s="420">
        <v>5</v>
      </c>
      <c r="C231" s="420">
        <f>IF(E231=E230,C230+1,1)</f>
        <v>25</v>
      </c>
      <c r="D231" s="420">
        <f>IF(K231=K230,D230,C231)</f>
        <v>25</v>
      </c>
      <c r="E231" s="420">
        <f>10+VALUE(RIGHT(LEFT(G231,3),1))</f>
        <v>16</v>
      </c>
      <c r="F231" s="420" t="str">
        <f>RIGHT(G231,2) &amp; IF(A231&lt;2,"x","")</f>
        <v>pm</v>
      </c>
      <c r="G231" s="420" t="s">
        <v>862</v>
      </c>
      <c r="H231" s="420" t="s">
        <v>264</v>
      </c>
      <c r="I231" s="420" t="s">
        <v>863</v>
      </c>
      <c r="K231" s="421">
        <f>LOOKUP(1E+100,M231:AB231)</f>
        <v>2451.2167880233792</v>
      </c>
      <c r="M231" s="421">
        <v>2440</v>
      </c>
      <c r="O231" s="420">
        <v>2451.2167880233792</v>
      </c>
    </row>
    <row r="232" spans="1:16" x14ac:dyDescent="0.3">
      <c r="A232" s="420">
        <v>6</v>
      </c>
      <c r="C232" s="420">
        <f>IF(E232=E231,C231+1,1)</f>
        <v>26</v>
      </c>
      <c r="D232" s="420">
        <f>IF(K232=K231,D231,C232)</f>
        <v>26</v>
      </c>
      <c r="E232" s="420">
        <f>10+VALUE(RIGHT(LEFT(G232,3),1))</f>
        <v>16</v>
      </c>
      <c r="F232" s="420" t="str">
        <f>RIGHT(G232,2) &amp; IF(A232&lt;2,"x","")</f>
        <v>pm</v>
      </c>
      <c r="G232" s="420" t="s">
        <v>782</v>
      </c>
      <c r="H232" s="420" t="s">
        <v>261</v>
      </c>
      <c r="I232" s="420" t="s">
        <v>783</v>
      </c>
      <c r="K232" s="421">
        <f>LOOKUP(1E+100,M232:AB232)</f>
        <v>2447.7127781169233</v>
      </c>
      <c r="M232" s="421">
        <v>2600</v>
      </c>
      <c r="O232" s="420">
        <v>2576.6911553687651</v>
      </c>
      <c r="P232" s="420">
        <v>2447.7127781169233</v>
      </c>
    </row>
    <row r="233" spans="1:16" x14ac:dyDescent="0.3">
      <c r="A233" s="420">
        <v>3</v>
      </c>
      <c r="C233" s="420">
        <f>IF(E233=E232,C232+1,1)</f>
        <v>27</v>
      </c>
      <c r="D233" s="420">
        <f>IF(K233=K232,D232,C233)</f>
        <v>27</v>
      </c>
      <c r="E233" s="420">
        <f>10+VALUE(RIGHT(LEFT(G233,3),1))</f>
        <v>16</v>
      </c>
      <c r="F233" s="420" t="str">
        <f>RIGHT(G233,2) &amp; IF(A233&lt;2,"x","")</f>
        <v>pm</v>
      </c>
      <c r="G233" s="420" t="s">
        <v>878</v>
      </c>
      <c r="H233" s="420" t="s">
        <v>227</v>
      </c>
      <c r="I233" s="420" t="s">
        <v>879</v>
      </c>
      <c r="K233" s="421">
        <f>LOOKUP(1E+100,M233:AB233)</f>
        <v>2440.4966018677383</v>
      </c>
      <c r="M233" s="421">
        <v>2333.3333333333335</v>
      </c>
      <c r="P233" s="420">
        <v>2440.4966018677383</v>
      </c>
    </row>
    <row r="234" spans="1:16" x14ac:dyDescent="0.3">
      <c r="A234" s="420">
        <v>4</v>
      </c>
      <c r="C234" s="420">
        <f>IF(E234=E233,C233+1,1)</f>
        <v>28</v>
      </c>
      <c r="D234" s="420">
        <f>IF(K234=K233,D233,C234)</f>
        <v>28</v>
      </c>
      <c r="E234" s="420">
        <f>10+VALUE(RIGHT(LEFT(G234,3),1))</f>
        <v>16</v>
      </c>
      <c r="F234" s="420" t="str">
        <f>RIGHT(G234,2) &amp; IF(A234&lt;2,"x","")</f>
        <v>pm</v>
      </c>
      <c r="G234" s="420" t="s">
        <v>858</v>
      </c>
      <c r="H234" s="420" t="s">
        <v>527</v>
      </c>
      <c r="I234" s="420" t="s">
        <v>859</v>
      </c>
      <c r="K234" s="421">
        <f>LOOKUP(1E+100,M234:AB234)</f>
        <v>2435.5218465919183</v>
      </c>
      <c r="M234" s="421">
        <v>2500</v>
      </c>
      <c r="N234" s="420">
        <v>2435.5218465919183</v>
      </c>
    </row>
    <row r="235" spans="1:16" x14ac:dyDescent="0.3">
      <c r="A235" s="420">
        <v>2</v>
      </c>
      <c r="C235" s="420">
        <f>IF(E235=E234,C234+1,1)</f>
        <v>29</v>
      </c>
      <c r="D235" s="420">
        <f>IF(K235=K234,D234,C235)</f>
        <v>29</v>
      </c>
      <c r="E235" s="420">
        <f>10+VALUE(RIGHT(LEFT(G235,3),1))</f>
        <v>16</v>
      </c>
      <c r="F235" s="420" t="str">
        <f>RIGHT(G235,2) &amp; IF(A235&lt;2,"x","")</f>
        <v>pm</v>
      </c>
      <c r="G235" s="420" t="s">
        <v>864</v>
      </c>
      <c r="H235" s="420" t="s">
        <v>727</v>
      </c>
      <c r="I235" s="420" t="s">
        <v>865</v>
      </c>
      <c r="K235" s="421">
        <f>LOOKUP(1E+100,M235:AB235)</f>
        <v>2412.7691341746354</v>
      </c>
      <c r="M235" s="421">
        <v>2400</v>
      </c>
      <c r="N235" s="420">
        <v>2412.7691341746354</v>
      </c>
    </row>
    <row r="236" spans="1:16" x14ac:dyDescent="0.3">
      <c r="A236" s="420">
        <v>2</v>
      </c>
      <c r="C236" s="420">
        <f>IF(E236=E235,C235+1,1)</f>
        <v>30</v>
      </c>
      <c r="D236" s="420">
        <f>IF(K236=K235,D235,C236)</f>
        <v>30</v>
      </c>
      <c r="E236" s="420">
        <f>10+VALUE(RIGHT(LEFT(G236,3),1))</f>
        <v>16</v>
      </c>
      <c r="F236" s="420" t="str">
        <f>RIGHT(G236,2) &amp; IF(A236&lt;2,"x","")</f>
        <v>pm</v>
      </c>
      <c r="G236" s="420" t="s">
        <v>870</v>
      </c>
      <c r="H236" s="420" t="s">
        <v>227</v>
      </c>
      <c r="I236" s="420" t="s">
        <v>871</v>
      </c>
      <c r="K236" s="421">
        <f>LOOKUP(1E+100,M236:AB236)</f>
        <v>2400</v>
      </c>
      <c r="M236" s="421">
        <v>2400</v>
      </c>
    </row>
    <row r="237" spans="1:16" x14ac:dyDescent="0.3">
      <c r="A237" s="420">
        <v>5</v>
      </c>
      <c r="C237" s="420">
        <f>IF(E237=E236,C236+1,1)</f>
        <v>31</v>
      </c>
      <c r="D237" s="420">
        <f>IF(K237=K236,D236,C237)</f>
        <v>31</v>
      </c>
      <c r="E237" s="420">
        <f>10+VALUE(RIGHT(LEFT(G237,3),1))</f>
        <v>16</v>
      </c>
      <c r="F237" s="420" t="str">
        <f>RIGHT(G237,2) &amp; IF(A237&lt;2,"x","")</f>
        <v>pm</v>
      </c>
      <c r="G237" s="420" t="s">
        <v>874</v>
      </c>
      <c r="H237" s="420" t="s">
        <v>334</v>
      </c>
      <c r="I237" s="420" t="s">
        <v>875</v>
      </c>
      <c r="K237" s="421">
        <f>LOOKUP(1E+100,M237:AB237)</f>
        <v>2399.7073966884218</v>
      </c>
      <c r="M237" s="421">
        <v>2360</v>
      </c>
      <c r="N237" s="420">
        <v>2378.6478158384998</v>
      </c>
      <c r="P237" s="420">
        <v>2399.7073966884218</v>
      </c>
    </row>
    <row r="238" spans="1:16" x14ac:dyDescent="0.3">
      <c r="A238" s="420">
        <v>4</v>
      </c>
      <c r="C238" s="420">
        <f>IF(E238=E237,C237+1,1)</f>
        <v>32</v>
      </c>
      <c r="D238" s="420">
        <f>IF(K238=K237,D237,C238)</f>
        <v>32</v>
      </c>
      <c r="E238" s="420">
        <f>10+VALUE(RIGHT(LEFT(G238,3),1))</f>
        <v>16</v>
      </c>
      <c r="F238" s="420" t="str">
        <f>RIGHT(G238,2) &amp; IF(A238&lt;2,"x","")</f>
        <v>pm</v>
      </c>
      <c r="G238" s="420" t="s">
        <v>866</v>
      </c>
      <c r="H238" s="420" t="s">
        <v>352</v>
      </c>
      <c r="I238" s="420" t="s">
        <v>867</v>
      </c>
      <c r="K238" s="421">
        <f>LOOKUP(1E+100,M238:AB238)</f>
        <v>2398.7776442920149</v>
      </c>
      <c r="M238" s="421">
        <v>2400</v>
      </c>
      <c r="P238" s="420">
        <v>2398.7776442920149</v>
      </c>
    </row>
    <row r="239" spans="1:16" x14ac:dyDescent="0.3">
      <c r="A239" s="420">
        <v>7</v>
      </c>
      <c r="C239" s="420">
        <f>IF(E239=E238,C238+1,1)</f>
        <v>33</v>
      </c>
      <c r="D239" s="420">
        <f>IF(K239=K238,D238,C239)</f>
        <v>33</v>
      </c>
      <c r="E239" s="420">
        <f>10+VALUE(RIGHT(LEFT(G239,3),1))</f>
        <v>16</v>
      </c>
      <c r="F239" s="420" t="str">
        <f>RIGHT(G239,2) &amp; IF(A239&lt;2,"x","")</f>
        <v>pm</v>
      </c>
      <c r="G239" s="420" t="s">
        <v>788</v>
      </c>
      <c r="H239" s="420" t="s">
        <v>416</v>
      </c>
      <c r="I239" s="420" t="s">
        <v>789</v>
      </c>
      <c r="K239" s="421">
        <f>LOOKUP(1E+100,M239:AB239)</f>
        <v>2358.4875528013863</v>
      </c>
      <c r="M239" s="421">
        <v>2600</v>
      </c>
      <c r="O239" s="420">
        <v>2472.9439059976125</v>
      </c>
      <c r="P239" s="420">
        <v>2358.4875528013863</v>
      </c>
    </row>
    <row r="240" spans="1:16" x14ac:dyDescent="0.3">
      <c r="A240" s="420">
        <v>4</v>
      </c>
      <c r="C240" s="420">
        <f>IF(E240=E239,C239+1,1)</f>
        <v>34</v>
      </c>
      <c r="D240" s="420">
        <f>IF(K240=K239,D239,C240)</f>
        <v>34</v>
      </c>
      <c r="E240" s="420">
        <f>10+VALUE(RIGHT(LEFT(G240,3),1))</f>
        <v>16</v>
      </c>
      <c r="F240" s="420" t="str">
        <f>RIGHT(G240,2) &amp; IF(A240&lt;2,"x","")</f>
        <v>pm</v>
      </c>
      <c r="G240" s="420" t="s">
        <v>884</v>
      </c>
      <c r="H240" s="420" t="s">
        <v>283</v>
      </c>
      <c r="I240" s="420" t="s">
        <v>885</v>
      </c>
      <c r="K240" s="421">
        <f>LOOKUP(1E+100,M240:AB240)</f>
        <v>2351.0771552233873</v>
      </c>
      <c r="M240" s="421">
        <v>2300</v>
      </c>
      <c r="P240" s="420">
        <v>2351.0771552233873</v>
      </c>
    </row>
    <row r="241" spans="1:16" x14ac:dyDescent="0.3">
      <c r="A241" s="420">
        <v>3</v>
      </c>
      <c r="C241" s="420">
        <f>IF(E241=E240,C240+1,1)</f>
        <v>35</v>
      </c>
      <c r="D241" s="420">
        <f>IF(K241=K240,D240,C241)</f>
        <v>35</v>
      </c>
      <c r="E241" s="420">
        <f>10+VALUE(RIGHT(LEFT(G241,3),1))</f>
        <v>16</v>
      </c>
      <c r="F241" s="420" t="str">
        <f>RIGHT(G241,2) &amp; IF(A241&lt;2,"x","")</f>
        <v>pm</v>
      </c>
      <c r="G241" s="420" t="s">
        <v>876</v>
      </c>
      <c r="H241" s="420" t="s">
        <v>727</v>
      </c>
      <c r="I241" s="420" t="s">
        <v>877</v>
      </c>
      <c r="K241" s="421">
        <f>LOOKUP(1E+100,M241:AB241)</f>
        <v>2350.4492194249574</v>
      </c>
      <c r="M241" s="421">
        <v>2333.3333333333335</v>
      </c>
      <c r="O241" s="420">
        <v>2350.4492194249574</v>
      </c>
    </row>
    <row r="242" spans="1:16" x14ac:dyDescent="0.3">
      <c r="A242" s="420">
        <v>3</v>
      </c>
      <c r="C242" s="420">
        <f>IF(E242=E241,C241+1,1)</f>
        <v>36</v>
      </c>
      <c r="D242" s="420">
        <f>IF(K242=K241,D241,C242)</f>
        <v>36</v>
      </c>
      <c r="E242" s="420">
        <f>10+VALUE(RIGHT(LEFT(G242,3),1))</f>
        <v>16</v>
      </c>
      <c r="F242" s="420" t="str">
        <f>RIGHT(G242,2) &amp; IF(A242&lt;2,"x","")</f>
        <v>pm</v>
      </c>
      <c r="G242" s="420" t="s">
        <v>880</v>
      </c>
      <c r="H242" s="420" t="s">
        <v>227</v>
      </c>
      <c r="I242" s="420" t="s">
        <v>881</v>
      </c>
      <c r="K242" s="421">
        <f>LOOKUP(1E+100,M242:AB242)</f>
        <v>2348.2124168226542</v>
      </c>
      <c r="M242" s="421">
        <v>2333.3333333333335</v>
      </c>
      <c r="P242" s="420">
        <v>2348.2124168226542</v>
      </c>
    </row>
    <row r="243" spans="1:16" x14ac:dyDescent="0.3">
      <c r="A243" s="420">
        <v>6</v>
      </c>
      <c r="C243" s="420">
        <f>IF(E243=E242,C242+1,1)</f>
        <v>37</v>
      </c>
      <c r="D243" s="420">
        <f>IF(K243=K242,D242,C243)</f>
        <v>37</v>
      </c>
      <c r="E243" s="420">
        <f>10+VALUE(RIGHT(LEFT(G243,3),1))</f>
        <v>16</v>
      </c>
      <c r="F243" s="420" t="str">
        <f>RIGHT(G243,2) &amp; IF(A243&lt;2,"x","")</f>
        <v>pm</v>
      </c>
      <c r="G243" s="420" t="s">
        <v>888</v>
      </c>
      <c r="H243" s="420" t="s">
        <v>539</v>
      </c>
      <c r="I243" s="420" t="s">
        <v>889</v>
      </c>
      <c r="K243" s="421">
        <f>LOOKUP(1E+100,M243:AB243)</f>
        <v>2282.9565164409532</v>
      </c>
      <c r="M243" s="421">
        <v>2266.6666666666665</v>
      </c>
      <c r="P243" s="420">
        <v>2282.9565164409532</v>
      </c>
    </row>
    <row r="244" spans="1:16" x14ac:dyDescent="0.3">
      <c r="A244" s="420">
        <v>6</v>
      </c>
      <c r="C244" s="420">
        <f>IF(E244=E243,C243+1,1)</f>
        <v>38</v>
      </c>
      <c r="D244" s="420">
        <f>IF(K244=K243,D243,C244)</f>
        <v>38</v>
      </c>
      <c r="E244" s="420">
        <f>10+VALUE(RIGHT(LEFT(G244,3),1))</f>
        <v>16</v>
      </c>
      <c r="F244" s="420" t="str">
        <f>RIGHT(G244,2) &amp; IF(A244&lt;2,"x","")</f>
        <v>pm</v>
      </c>
      <c r="G244" s="420" t="s">
        <v>890</v>
      </c>
      <c r="H244" s="420" t="s">
        <v>891</v>
      </c>
      <c r="I244" s="420" t="s">
        <v>892</v>
      </c>
      <c r="K244" s="421">
        <f>LOOKUP(1E+100,M244:AB244)</f>
        <v>2266.6337502919241</v>
      </c>
      <c r="M244" s="421">
        <v>2200</v>
      </c>
      <c r="N244" s="420">
        <v>2177.6728316862236</v>
      </c>
      <c r="P244" s="420">
        <v>2266.6337502919241</v>
      </c>
    </row>
    <row r="245" spans="1:16" x14ac:dyDescent="0.3">
      <c r="A245" s="420">
        <v>5</v>
      </c>
      <c r="C245" s="420">
        <f>IF(E245=E244,C244+1,1)</f>
        <v>39</v>
      </c>
      <c r="D245" s="420">
        <f>IF(K245=K244,D244,C245)</f>
        <v>39</v>
      </c>
      <c r="E245" s="420">
        <f>10+VALUE(RIGHT(LEFT(G245,3),1))</f>
        <v>16</v>
      </c>
      <c r="F245" s="420" t="str">
        <f>RIGHT(G245,2) &amp; IF(A245&lt;2,"x","")</f>
        <v>pm</v>
      </c>
      <c r="G245" s="420" t="s">
        <v>899</v>
      </c>
      <c r="H245" s="420" t="s">
        <v>256</v>
      </c>
      <c r="I245" s="420" t="s">
        <v>900</v>
      </c>
      <c r="K245" s="421">
        <f>LOOKUP(1E+100,M245:AB245)</f>
        <v>2246.0256926694246</v>
      </c>
      <c r="M245" s="421">
        <v>2200</v>
      </c>
      <c r="N245" s="420">
        <v>2160.485456451649</v>
      </c>
      <c r="P245" s="420">
        <v>2246.0256926694246</v>
      </c>
    </row>
    <row r="246" spans="1:16" x14ac:dyDescent="0.3">
      <c r="A246" s="420">
        <v>4</v>
      </c>
      <c r="C246" s="420">
        <f>IF(E246=E245,C245+1,1)</f>
        <v>40</v>
      </c>
      <c r="D246" s="420">
        <f>IF(K246=K245,D245,C246)</f>
        <v>40</v>
      </c>
      <c r="E246" s="420">
        <f>10+VALUE(RIGHT(LEFT(G246,3),1))</f>
        <v>16</v>
      </c>
      <c r="F246" s="420" t="str">
        <f>RIGHT(G246,2) &amp; IF(A246&lt;2,"x","")</f>
        <v>pm</v>
      </c>
      <c r="G246" s="420" t="s">
        <v>886</v>
      </c>
      <c r="H246" s="420" t="s">
        <v>491</v>
      </c>
      <c r="I246" s="420" t="s">
        <v>887</v>
      </c>
      <c r="K246" s="421">
        <f>LOOKUP(1E+100,M246:AB246)</f>
        <v>2228.6080523393039</v>
      </c>
      <c r="M246" s="421">
        <v>2300</v>
      </c>
      <c r="N246" s="420">
        <v>2240.5536622425197</v>
      </c>
      <c r="P246" s="420">
        <v>2228.6080523393039</v>
      </c>
    </row>
    <row r="247" spans="1:16" x14ac:dyDescent="0.3">
      <c r="A247" s="420">
        <v>2</v>
      </c>
      <c r="C247" s="420">
        <f>IF(E247=E246,C246+1,1)</f>
        <v>41</v>
      </c>
      <c r="D247" s="420">
        <f>IF(K247=K246,D246,C247)</f>
        <v>41</v>
      </c>
      <c r="E247" s="420">
        <f>10+VALUE(RIGHT(LEFT(G247,3),1))</f>
        <v>16</v>
      </c>
      <c r="F247" s="420" t="str">
        <f>RIGHT(G247,2) &amp; IF(A247&lt;2,"x","")</f>
        <v>pm</v>
      </c>
      <c r="G247" s="420" t="s">
        <v>893</v>
      </c>
      <c r="H247" s="420" t="s">
        <v>240</v>
      </c>
      <c r="I247" s="420" t="s">
        <v>894</v>
      </c>
      <c r="K247" s="421">
        <f>LOOKUP(1E+100,M247:AB247)</f>
        <v>2200</v>
      </c>
      <c r="M247" s="421">
        <v>2200</v>
      </c>
    </row>
    <row r="248" spans="1:16" x14ac:dyDescent="0.3">
      <c r="A248" s="420">
        <v>2</v>
      </c>
      <c r="C248" s="420">
        <f>IF(E248=E247,C247+1,1)</f>
        <v>42</v>
      </c>
      <c r="D248" s="420">
        <f>IF(K248=K247,D247,C248)</f>
        <v>41</v>
      </c>
      <c r="E248" s="420">
        <f>10+VALUE(RIGHT(LEFT(G248,3),1))</f>
        <v>16</v>
      </c>
      <c r="F248" s="420" t="str">
        <f>RIGHT(G248,2) &amp; IF(A248&lt;2,"x","")</f>
        <v>pm</v>
      </c>
      <c r="G248" s="420" t="s">
        <v>913</v>
      </c>
      <c r="H248" s="420" t="s">
        <v>527</v>
      </c>
      <c r="I248" s="420" t="s">
        <v>914</v>
      </c>
      <c r="K248" s="421">
        <f>LOOKUP(1E+100,M248:AB248)</f>
        <v>2200</v>
      </c>
      <c r="M248" s="421">
        <v>2200</v>
      </c>
    </row>
    <row r="249" spans="1:16" x14ac:dyDescent="0.3">
      <c r="A249" s="420">
        <v>4</v>
      </c>
      <c r="C249" s="420">
        <f>IF(E249=E248,C248+1,1)</f>
        <v>43</v>
      </c>
      <c r="D249" s="420">
        <f>IF(K249=K248,D248,C249)</f>
        <v>43</v>
      </c>
      <c r="E249" s="420">
        <f>10+VALUE(RIGHT(LEFT(G249,3),1))</f>
        <v>16</v>
      </c>
      <c r="F249" s="420" t="str">
        <f>RIGHT(G249,2) &amp; IF(A249&lt;2,"x","")</f>
        <v>pm</v>
      </c>
      <c r="G249" s="420" t="s">
        <v>895</v>
      </c>
      <c r="H249" s="420" t="s">
        <v>554</v>
      </c>
      <c r="I249" s="420" t="s">
        <v>896</v>
      </c>
      <c r="K249" s="421">
        <f>LOOKUP(1E+100,M249:AB249)</f>
        <v>2189.1224640919872</v>
      </c>
      <c r="M249" s="421">
        <v>2200</v>
      </c>
      <c r="P249" s="420">
        <v>2189.1224640919872</v>
      </c>
    </row>
    <row r="250" spans="1:16" x14ac:dyDescent="0.3">
      <c r="A250" s="420">
        <v>4</v>
      </c>
      <c r="C250" s="420">
        <f>IF(E250=E249,C249+1,1)</f>
        <v>44</v>
      </c>
      <c r="D250" s="420">
        <f>IF(K250=K249,D249,C250)</f>
        <v>44</v>
      </c>
      <c r="E250" s="420">
        <f>10+VALUE(RIGHT(LEFT(G250,3),1))</f>
        <v>16</v>
      </c>
      <c r="F250" s="420" t="str">
        <f>RIGHT(G250,2) &amp; IF(A250&lt;2,"x","")</f>
        <v>pm</v>
      </c>
      <c r="G250" s="420" t="s">
        <v>905</v>
      </c>
      <c r="H250" s="420" t="s">
        <v>273</v>
      </c>
      <c r="I250" s="420" t="s">
        <v>906</v>
      </c>
      <c r="K250" s="421">
        <f>LOOKUP(1E+100,M250:AB250)</f>
        <v>2171.5338221361626</v>
      </c>
      <c r="M250" s="421">
        <v>2200</v>
      </c>
      <c r="P250" s="420">
        <v>2171.5338221361626</v>
      </c>
    </row>
    <row r="251" spans="1:16" x14ac:dyDescent="0.3">
      <c r="A251" s="420">
        <v>5</v>
      </c>
      <c r="C251" s="420">
        <f>IF(E251=E250,C250+1,1)</f>
        <v>45</v>
      </c>
      <c r="D251" s="420">
        <f>IF(K251=K250,D250,C251)</f>
        <v>45</v>
      </c>
      <c r="E251" s="420">
        <f>10+VALUE(RIGHT(LEFT(G251,3),1))</f>
        <v>16</v>
      </c>
      <c r="F251" s="420" t="str">
        <f>RIGHT(G251,2) &amp; IF(A251&lt;2,"x","")</f>
        <v>pm</v>
      </c>
      <c r="G251" s="420" t="s">
        <v>909</v>
      </c>
      <c r="H251" s="420" t="s">
        <v>437</v>
      </c>
      <c r="I251" s="420" t="s">
        <v>910</v>
      </c>
      <c r="K251" s="421">
        <f>LOOKUP(1E+100,M251:AB251)</f>
        <v>2163.4233364273991</v>
      </c>
      <c r="M251" s="421">
        <v>2200</v>
      </c>
      <c r="P251" s="420">
        <v>2163.4233364273991</v>
      </c>
    </row>
    <row r="252" spans="1:16" x14ac:dyDescent="0.3">
      <c r="A252" s="420">
        <v>7</v>
      </c>
      <c r="C252" s="420">
        <f>IF(E252=E251,C251+1,1)</f>
        <v>46</v>
      </c>
      <c r="D252" s="420">
        <f>IF(K252=K251,D251,C252)</f>
        <v>46</v>
      </c>
      <c r="E252" s="420">
        <f>10+VALUE(RIGHT(LEFT(G252,3),1))</f>
        <v>16</v>
      </c>
      <c r="F252" s="420" t="str">
        <f>RIGHT(G252,2) &amp; IF(A252&lt;2,"x","")</f>
        <v>pm</v>
      </c>
      <c r="G252" s="420" t="s">
        <v>907</v>
      </c>
      <c r="H252" s="420" t="s">
        <v>278</v>
      </c>
      <c r="I252" s="420" t="s">
        <v>908</v>
      </c>
      <c r="K252" s="421">
        <f>LOOKUP(1E+100,M252:AB252)</f>
        <v>2162.529492486251</v>
      </c>
      <c r="M252" s="421">
        <v>2200</v>
      </c>
      <c r="N252" s="420">
        <v>2142.8617667366602</v>
      </c>
      <c r="P252" s="420">
        <v>2162.529492486251</v>
      </c>
    </row>
    <row r="253" spans="1:16" x14ac:dyDescent="0.3">
      <c r="A253" s="420">
        <v>6</v>
      </c>
      <c r="C253" s="420">
        <f>IF(E253=E252,C252+1,1)</f>
        <v>47</v>
      </c>
      <c r="D253" s="420">
        <f>IF(K253=K252,D252,C253)</f>
        <v>47</v>
      </c>
      <c r="E253" s="420">
        <f>10+VALUE(RIGHT(LEFT(G253,3),1))</f>
        <v>16</v>
      </c>
      <c r="F253" s="420" t="str">
        <f>RIGHT(G253,2) &amp; IF(A253&lt;2,"x","")</f>
        <v>pm</v>
      </c>
      <c r="G253" s="420" t="s">
        <v>903</v>
      </c>
      <c r="H253" s="420" t="s">
        <v>264</v>
      </c>
      <c r="I253" s="420" t="s">
        <v>904</v>
      </c>
      <c r="K253" s="421">
        <f>LOOKUP(1E+100,M253:AB253)</f>
        <v>2137.3159746233223</v>
      </c>
      <c r="M253" s="421">
        <v>2200</v>
      </c>
      <c r="P253" s="420">
        <v>2137.3159746233223</v>
      </c>
    </row>
    <row r="254" spans="1:16" x14ac:dyDescent="0.3">
      <c r="A254" s="420">
        <v>7</v>
      </c>
      <c r="C254" s="420">
        <f>IF(E254=E253,C253+1,1)</f>
        <v>48</v>
      </c>
      <c r="D254" s="420">
        <f>IF(K254=K253,D253,C254)</f>
        <v>48</v>
      </c>
      <c r="E254" s="420">
        <f>10+VALUE(RIGHT(LEFT(G254,3),1))</f>
        <v>16</v>
      </c>
      <c r="F254" s="420" t="str">
        <f>RIGHT(G254,2) &amp; IF(A254&lt;2,"x","")</f>
        <v>pm</v>
      </c>
      <c r="G254" s="420" t="s">
        <v>901</v>
      </c>
      <c r="H254" s="420" t="s">
        <v>261</v>
      </c>
      <c r="I254" s="420" t="s">
        <v>902</v>
      </c>
      <c r="K254" s="421">
        <f>LOOKUP(1E+100,M254:AB254)</f>
        <v>2131.4347293190935</v>
      </c>
      <c r="M254" s="421">
        <v>2200</v>
      </c>
      <c r="N254" s="420">
        <v>2166.6305951950408</v>
      </c>
      <c r="P254" s="420">
        <v>2131.4347293190935</v>
      </c>
    </row>
    <row r="255" spans="1:16" x14ac:dyDescent="0.3">
      <c r="A255" s="420">
        <v>2</v>
      </c>
      <c r="C255" s="420">
        <f>IF(E255=E254,C254+1,1)</f>
        <v>49</v>
      </c>
      <c r="D255" s="420">
        <f>IF(K255=K254,D254,C255)</f>
        <v>49</v>
      </c>
      <c r="E255" s="420">
        <f>10+VALUE(RIGHT(LEFT(G255,3),1))</f>
        <v>16</v>
      </c>
      <c r="F255" s="420" t="str">
        <f>RIGHT(G255,2) &amp; IF(A255&lt;2,"x","")</f>
        <v>pm</v>
      </c>
      <c r="G255" s="420" t="s">
        <v>897</v>
      </c>
      <c r="H255" s="420" t="s">
        <v>250</v>
      </c>
      <c r="I255" s="420" t="s">
        <v>898</v>
      </c>
      <c r="K255" s="421">
        <f>LOOKUP(1E+100,M255:AB255)</f>
        <v>2124.4926134098159</v>
      </c>
      <c r="M255" s="421">
        <v>2200</v>
      </c>
      <c r="N255" s="420">
        <v>2124.4926134098159</v>
      </c>
    </row>
    <row r="256" spans="1:16" x14ac:dyDescent="0.3">
      <c r="A256" s="420">
        <v>5</v>
      </c>
      <c r="C256" s="420">
        <f>IF(E256=E255,C255+1,1)</f>
        <v>50</v>
      </c>
      <c r="D256" s="420">
        <f>IF(K256=K255,D255,C256)</f>
        <v>50</v>
      </c>
      <c r="E256" s="420">
        <f>10+VALUE(RIGHT(LEFT(G256,3),1))</f>
        <v>16</v>
      </c>
      <c r="F256" s="420" t="str">
        <f>RIGHT(G256,2) &amp; IF(A256&lt;2,"x","")</f>
        <v>pm</v>
      </c>
      <c r="G256" s="420" t="s">
        <v>911</v>
      </c>
      <c r="H256" s="420" t="s">
        <v>437</v>
      </c>
      <c r="I256" s="420" t="s">
        <v>912</v>
      </c>
      <c r="K256" s="421">
        <f>LOOKUP(1E+100,M256:AB256)</f>
        <v>2120.6626175619003</v>
      </c>
      <c r="M256" s="421">
        <v>2200</v>
      </c>
      <c r="P256" s="420">
        <v>2120.6626175619003</v>
      </c>
    </row>
    <row r="257" spans="1:16" x14ac:dyDescent="0.3">
      <c r="A257" s="420">
        <v>2</v>
      </c>
      <c r="C257" s="420">
        <f>IF(E257=E256,C256+1,1)</f>
        <v>1</v>
      </c>
      <c r="D257" s="420">
        <f>IF(K257=K256,D256,C257)</f>
        <v>1</v>
      </c>
      <c r="E257" s="420">
        <f>10+VALUE(RIGHT(LEFT(G257,3),1))</f>
        <v>17</v>
      </c>
      <c r="F257" s="420" t="str">
        <f>RIGHT(G257,2) &amp; IF(A257&lt;2,"x","")</f>
        <v>pm</v>
      </c>
      <c r="G257" s="420" t="s">
        <v>941</v>
      </c>
      <c r="H257" s="420" t="s">
        <v>215</v>
      </c>
      <c r="I257" s="420" t="s">
        <v>942</v>
      </c>
      <c r="K257" s="421">
        <f>LOOKUP(1E+100,M257:AB257)</f>
        <v>2938.7757085360536</v>
      </c>
      <c r="M257" s="421">
        <v>2800</v>
      </c>
      <c r="P257" s="420">
        <v>2938.7757085360536</v>
      </c>
    </row>
    <row r="258" spans="1:16" x14ac:dyDescent="0.3">
      <c r="A258" s="420">
        <v>5</v>
      </c>
      <c r="C258" s="420">
        <f>IF(E258=E257,C257+1,1)</f>
        <v>2</v>
      </c>
      <c r="D258" s="420">
        <f>IF(K258=K257,D257,C258)</f>
        <v>2</v>
      </c>
      <c r="E258" s="420">
        <f>10+VALUE(RIGHT(LEFT(G258,3),1))</f>
        <v>17</v>
      </c>
      <c r="F258" s="420" t="str">
        <f>RIGHT(G258,2) &amp; IF(A258&lt;2,"x","")</f>
        <v>pm</v>
      </c>
      <c r="G258" s="420" t="s">
        <v>933</v>
      </c>
      <c r="H258" s="420" t="s">
        <v>261</v>
      </c>
      <c r="I258" s="420" t="s">
        <v>934</v>
      </c>
      <c r="K258" s="421">
        <f>LOOKUP(1E+100,M258:AB258)</f>
        <v>2844.0129082224389</v>
      </c>
      <c r="M258" s="421">
        <v>2800</v>
      </c>
      <c r="P258" s="420">
        <v>2844.0129082224389</v>
      </c>
    </row>
    <row r="259" spans="1:16" x14ac:dyDescent="0.3">
      <c r="A259" s="420">
        <v>2</v>
      </c>
      <c r="C259" s="420">
        <f>IF(E259=E258,C258+1,1)</f>
        <v>3</v>
      </c>
      <c r="D259" s="420">
        <f>IF(K259=K258,D258,C259)</f>
        <v>3</v>
      </c>
      <c r="E259" s="420">
        <f>10+VALUE(RIGHT(LEFT(G259,3),1))</f>
        <v>17</v>
      </c>
      <c r="F259" s="420" t="str">
        <f>RIGHT(G259,2) &amp; IF(A259&lt;2,"x","")</f>
        <v>pm</v>
      </c>
      <c r="G259" s="420" t="s">
        <v>957</v>
      </c>
      <c r="H259" s="420" t="s">
        <v>224</v>
      </c>
      <c r="I259" s="420" t="s">
        <v>958</v>
      </c>
      <c r="K259" s="421">
        <f>LOOKUP(1E+100,M259:AB259)</f>
        <v>2800</v>
      </c>
      <c r="M259" s="421">
        <v>2800</v>
      </c>
    </row>
    <row r="260" spans="1:16" x14ac:dyDescent="0.3">
      <c r="A260" s="420">
        <v>2</v>
      </c>
      <c r="C260" s="420">
        <f>IF(E260=E259,C259+1,1)</f>
        <v>4</v>
      </c>
      <c r="D260" s="420">
        <f>IF(K260=K259,D259,C260)</f>
        <v>3</v>
      </c>
      <c r="E260" s="420">
        <f>10+VALUE(RIGHT(LEFT(G260,3),1))</f>
        <v>17</v>
      </c>
      <c r="F260" s="420" t="str">
        <f>RIGHT(G260,2) &amp; IF(A260&lt;2,"x","")</f>
        <v>pm</v>
      </c>
      <c r="G260" s="420" t="s">
        <v>939</v>
      </c>
      <c r="H260" s="420" t="s">
        <v>663</v>
      </c>
      <c r="I260" s="420" t="s">
        <v>940</v>
      </c>
      <c r="K260" s="421">
        <f>LOOKUP(1E+100,M260:AB260)</f>
        <v>2800</v>
      </c>
      <c r="M260" s="421">
        <v>2800</v>
      </c>
    </row>
    <row r="261" spans="1:16" x14ac:dyDescent="0.3">
      <c r="A261" s="420">
        <v>2</v>
      </c>
      <c r="C261" s="420">
        <f>IF(E261=E260,C260+1,1)</f>
        <v>5</v>
      </c>
      <c r="D261" s="420">
        <f>IF(K261=K260,D260,C261)</f>
        <v>3</v>
      </c>
      <c r="E261" s="420">
        <f>10+VALUE(RIGHT(LEFT(G261,3),1))</f>
        <v>17</v>
      </c>
      <c r="F261" s="420" t="str">
        <f>RIGHT(G261,2) &amp; IF(A261&lt;2,"x","")</f>
        <v>pm</v>
      </c>
      <c r="G261" s="420" t="s">
        <v>943</v>
      </c>
      <c r="H261" s="420" t="s">
        <v>288</v>
      </c>
      <c r="I261" s="420" t="s">
        <v>944</v>
      </c>
      <c r="K261" s="421">
        <f>LOOKUP(1E+100,M261:AB261)</f>
        <v>2800</v>
      </c>
      <c r="M261" s="421">
        <v>2800</v>
      </c>
    </row>
    <row r="262" spans="1:16" x14ac:dyDescent="0.3">
      <c r="A262" s="420">
        <v>3</v>
      </c>
      <c r="C262" s="420">
        <f>IF(E262=E261,C261+1,1)</f>
        <v>6</v>
      </c>
      <c r="D262" s="420">
        <f>IF(K262=K261,D261,C262)</f>
        <v>3</v>
      </c>
      <c r="E262" s="420">
        <f>10+VALUE(RIGHT(LEFT(G262,3),1))</f>
        <v>17</v>
      </c>
      <c r="F262" s="420" t="str">
        <f>RIGHT(G262,2) &amp; IF(A262&lt;2,"x","")</f>
        <v>pm</v>
      </c>
      <c r="G262" s="420" t="s">
        <v>947</v>
      </c>
      <c r="H262" s="420" t="s">
        <v>221</v>
      </c>
      <c r="I262" s="420" t="s">
        <v>948</v>
      </c>
      <c r="K262" s="421">
        <f>LOOKUP(1E+100,M262:AB262)</f>
        <v>2800</v>
      </c>
      <c r="M262" s="421">
        <v>2800</v>
      </c>
    </row>
    <row r="263" spans="1:16" x14ac:dyDescent="0.3">
      <c r="A263" s="420">
        <v>5</v>
      </c>
      <c r="C263" s="420">
        <f>IF(E263=E262,C262+1,1)</f>
        <v>7</v>
      </c>
      <c r="D263" s="420">
        <f>IF(K263=K262,D262,C263)</f>
        <v>7</v>
      </c>
      <c r="E263" s="420">
        <f>10+VALUE(RIGHT(LEFT(G263,3),1))</f>
        <v>17</v>
      </c>
      <c r="F263" s="420" t="str">
        <f>RIGHT(G263,2) &amp; IF(A263&lt;2,"x","")</f>
        <v>pm</v>
      </c>
      <c r="G263" s="420" t="s">
        <v>945</v>
      </c>
      <c r="H263" s="420" t="s">
        <v>288</v>
      </c>
      <c r="I263" s="420" t="s">
        <v>946</v>
      </c>
      <c r="K263" s="421">
        <f>LOOKUP(1E+100,M263:AB263)</f>
        <v>2776.2225468947754</v>
      </c>
      <c r="M263" s="421">
        <v>2800</v>
      </c>
      <c r="O263" s="420">
        <v>2776.2225468947754</v>
      </c>
    </row>
    <row r="264" spans="1:16" x14ac:dyDescent="0.3">
      <c r="A264" s="420">
        <v>5</v>
      </c>
      <c r="C264" s="420">
        <f>IF(E264=E263,C263+1,1)</f>
        <v>8</v>
      </c>
      <c r="D264" s="420">
        <f>IF(K264=K263,D263,C264)</f>
        <v>8</v>
      </c>
      <c r="E264" s="420">
        <f>10+VALUE(RIGHT(LEFT(G264,3),1))</f>
        <v>17</v>
      </c>
      <c r="F264" s="420" t="str">
        <f>RIGHT(G264,2) &amp; IF(A264&lt;2,"x","")</f>
        <v>pm</v>
      </c>
      <c r="G264" s="420" t="s">
        <v>937</v>
      </c>
      <c r="H264" s="420" t="s">
        <v>224</v>
      </c>
      <c r="I264" s="420" t="s">
        <v>938</v>
      </c>
      <c r="K264" s="421">
        <f>LOOKUP(1E+100,M264:AB264)</f>
        <v>2742.4478838984464</v>
      </c>
      <c r="M264" s="421">
        <v>2800</v>
      </c>
      <c r="O264" s="420">
        <v>2742.4478838984464</v>
      </c>
    </row>
    <row r="265" spans="1:16" x14ac:dyDescent="0.3">
      <c r="A265" s="420">
        <v>4</v>
      </c>
      <c r="C265" s="420">
        <f>IF(E265=E264,C264+1,1)</f>
        <v>9</v>
      </c>
      <c r="D265" s="420">
        <f>IF(K265=K264,D264,C265)</f>
        <v>9</v>
      </c>
      <c r="E265" s="420">
        <f>10+VALUE(RIGHT(LEFT(G265,3),1))</f>
        <v>17</v>
      </c>
      <c r="F265" s="420" t="str">
        <f>RIGHT(G265,2) &amp; IF(A265&lt;2,"x","")</f>
        <v>pm</v>
      </c>
      <c r="G265" s="420" t="s">
        <v>931</v>
      </c>
      <c r="H265" s="420" t="s">
        <v>243</v>
      </c>
      <c r="I265" s="420" t="s">
        <v>932</v>
      </c>
      <c r="K265" s="421">
        <f>LOOKUP(1E+100,M265:AB265)</f>
        <v>2728.6666577006049</v>
      </c>
      <c r="M265" s="421">
        <v>2800</v>
      </c>
      <c r="P265" s="420">
        <v>2728.6666577006049</v>
      </c>
    </row>
    <row r="266" spans="1:16" x14ac:dyDescent="0.3">
      <c r="A266" s="420">
        <v>7</v>
      </c>
      <c r="C266" s="420">
        <f>IF(E266=E265,C265+1,1)</f>
        <v>10</v>
      </c>
      <c r="D266" s="420">
        <f>IF(K266=K265,D265,C266)</f>
        <v>10</v>
      </c>
      <c r="E266" s="420">
        <f>10+VALUE(RIGHT(LEFT(G266,3),1))</f>
        <v>17</v>
      </c>
      <c r="F266" s="420" t="str">
        <f>RIGHT(G266,2) &amp; IF(A266&lt;2,"x","")</f>
        <v>pm</v>
      </c>
      <c r="G266" s="420" t="s">
        <v>935</v>
      </c>
      <c r="H266" s="420" t="s">
        <v>416</v>
      </c>
      <c r="I266" s="420" t="s">
        <v>936</v>
      </c>
      <c r="K266" s="421">
        <f>LOOKUP(1E+100,M266:AB266)</f>
        <v>2714.9188943519134</v>
      </c>
      <c r="M266" s="421">
        <v>2800</v>
      </c>
      <c r="O266" s="420">
        <v>2749.346112386957</v>
      </c>
      <c r="P266" s="420">
        <v>2714.9188943519134</v>
      </c>
    </row>
    <row r="267" spans="1:16" x14ac:dyDescent="0.3">
      <c r="A267" s="420">
        <v>2</v>
      </c>
      <c r="C267" s="420">
        <f>IF(E267=E266,C266+1,1)</f>
        <v>11</v>
      </c>
      <c r="D267" s="420">
        <f>IF(K267=K266,D266,C267)</f>
        <v>11</v>
      </c>
      <c r="E267" s="420">
        <f>10+VALUE(RIGHT(LEFT(G267,3),1))</f>
        <v>17</v>
      </c>
      <c r="F267" s="420" t="str">
        <f>RIGHT(G267,2) &amp; IF(A267&lt;2,"x","")</f>
        <v>pm</v>
      </c>
      <c r="G267" s="420" t="s">
        <v>961</v>
      </c>
      <c r="H267" s="420" t="s">
        <v>727</v>
      </c>
      <c r="I267" s="420" t="s">
        <v>962</v>
      </c>
      <c r="K267" s="421">
        <f>LOOKUP(1E+100,M267:AB267)</f>
        <v>2649.6936331387928</v>
      </c>
      <c r="M267" s="421">
        <v>2600</v>
      </c>
      <c r="N267" s="420">
        <v>2649.6936331387928</v>
      </c>
    </row>
    <row r="268" spans="1:16" x14ac:dyDescent="0.3">
      <c r="A268" s="420">
        <v>6</v>
      </c>
      <c r="C268" s="420">
        <f>IF(E268=E267,C267+1,1)</f>
        <v>12</v>
      </c>
      <c r="D268" s="420">
        <f>IF(K268=K267,D267,C268)</f>
        <v>12</v>
      </c>
      <c r="E268" s="420">
        <f>10+VALUE(RIGHT(LEFT(G268,3),1))</f>
        <v>17</v>
      </c>
      <c r="F268" s="420" t="str">
        <f>RIGHT(G268,2) &amp; IF(A268&lt;2,"x","")</f>
        <v>pm</v>
      </c>
      <c r="G268" s="420" t="s">
        <v>963</v>
      </c>
      <c r="H268" s="420" t="s">
        <v>539</v>
      </c>
      <c r="I268" s="420" t="s">
        <v>964</v>
      </c>
      <c r="K268" s="421">
        <f>LOOKUP(1E+100,M268:AB268)</f>
        <v>2603.5447609677722</v>
      </c>
      <c r="M268" s="421">
        <v>2600</v>
      </c>
      <c r="P268" s="420">
        <v>2603.5447609677722</v>
      </c>
    </row>
    <row r="269" spans="1:16" x14ac:dyDescent="0.3">
      <c r="A269" s="420">
        <v>2</v>
      </c>
      <c r="C269" s="420">
        <f>IF(E269=E268,C268+1,1)</f>
        <v>13</v>
      </c>
      <c r="D269" s="420">
        <f>IF(K269=K268,D268,C269)</f>
        <v>13</v>
      </c>
      <c r="E269" s="420">
        <f>10+VALUE(RIGHT(LEFT(G269,3),1))</f>
        <v>17</v>
      </c>
      <c r="F269" s="420" t="str">
        <f>RIGHT(G269,2) &amp; IF(A269&lt;2,"x","")</f>
        <v>pm</v>
      </c>
      <c r="G269" s="420" t="s">
        <v>965</v>
      </c>
      <c r="H269" s="420" t="s">
        <v>227</v>
      </c>
      <c r="I269" s="420" t="s">
        <v>966</v>
      </c>
      <c r="K269" s="421">
        <f>LOOKUP(1E+100,M269:AB269)</f>
        <v>2600</v>
      </c>
      <c r="M269" s="421">
        <v>2600</v>
      </c>
    </row>
    <row r="270" spans="1:16" x14ac:dyDescent="0.3">
      <c r="A270" s="420">
        <v>3</v>
      </c>
      <c r="C270" s="420">
        <f>IF(E270=E269,C269+1,1)</f>
        <v>14</v>
      </c>
      <c r="D270" s="420">
        <f>IF(K270=K269,D269,C270)</f>
        <v>14</v>
      </c>
      <c r="E270" s="420">
        <f>10+VALUE(RIGHT(LEFT(G270,3),1))</f>
        <v>17</v>
      </c>
      <c r="F270" s="420" t="str">
        <f>RIGHT(G270,2) &amp; IF(A270&lt;2,"x","")</f>
        <v>pm</v>
      </c>
      <c r="G270" s="420" t="s">
        <v>969</v>
      </c>
      <c r="H270" s="420" t="s">
        <v>534</v>
      </c>
      <c r="I270" s="420" t="s">
        <v>970</v>
      </c>
      <c r="K270" s="421">
        <f>LOOKUP(1E+100,M270:AB270)</f>
        <v>2533.3333333333335</v>
      </c>
      <c r="M270" s="421">
        <v>2533.3333333333335</v>
      </c>
    </row>
    <row r="271" spans="1:16" x14ac:dyDescent="0.3">
      <c r="A271" s="420">
        <v>6</v>
      </c>
      <c r="C271" s="420">
        <f>IF(E271=E270,C270+1,1)</f>
        <v>15</v>
      </c>
      <c r="D271" s="420">
        <f>IF(K271=K270,D270,C271)</f>
        <v>15</v>
      </c>
      <c r="E271" s="420">
        <f>10+VALUE(RIGHT(LEFT(G271,3),1))</f>
        <v>17</v>
      </c>
      <c r="F271" s="420" t="str">
        <f>RIGHT(G271,2) &amp; IF(A271&lt;2,"x","")</f>
        <v>pm</v>
      </c>
      <c r="G271" s="420" t="s">
        <v>971</v>
      </c>
      <c r="H271" s="420" t="s">
        <v>305</v>
      </c>
      <c r="I271" s="420" t="s">
        <v>972</v>
      </c>
      <c r="K271" s="421">
        <f>LOOKUP(1E+100,M271:AB271)</f>
        <v>2500.4482807265576</v>
      </c>
      <c r="M271" s="421">
        <v>2466.6666666666665</v>
      </c>
      <c r="N271" s="420">
        <v>2433.3004749481729</v>
      </c>
      <c r="P271" s="420">
        <v>2500.4482807265576</v>
      </c>
    </row>
    <row r="272" spans="1:16" x14ac:dyDescent="0.3">
      <c r="A272" s="420">
        <v>2</v>
      </c>
      <c r="C272" s="420">
        <f>IF(E272=E271,C271+1,1)</f>
        <v>16</v>
      </c>
      <c r="D272" s="420">
        <f>IF(K272=K271,D271,C272)</f>
        <v>16</v>
      </c>
      <c r="E272" s="420">
        <f>10+VALUE(RIGHT(LEFT(G272,3),1))</f>
        <v>17</v>
      </c>
      <c r="F272" s="420" t="str">
        <f>RIGHT(G272,2) &amp; IF(A272&lt;2,"x","")</f>
        <v>pm</v>
      </c>
      <c r="G272" s="420" t="s">
        <v>975</v>
      </c>
      <c r="H272" s="420" t="s">
        <v>250</v>
      </c>
      <c r="I272" s="420" t="s">
        <v>976</v>
      </c>
      <c r="K272" s="421">
        <f>LOOKUP(1E+100,M272:AB272)</f>
        <v>2443.9246853858785</v>
      </c>
      <c r="M272" s="421">
        <v>2400</v>
      </c>
      <c r="N272" s="420">
        <v>2443.9246853858785</v>
      </c>
    </row>
    <row r="273" spans="1:16" x14ac:dyDescent="0.3">
      <c r="A273" s="420">
        <v>6</v>
      </c>
      <c r="C273" s="420">
        <f>IF(E273=E272,C272+1,1)</f>
        <v>17</v>
      </c>
      <c r="D273" s="420">
        <f>IF(K273=K272,D272,C273)</f>
        <v>17</v>
      </c>
      <c r="E273" s="420">
        <f>10+VALUE(RIGHT(LEFT(G273,3),1))</f>
        <v>17</v>
      </c>
      <c r="F273" s="420" t="str">
        <f>RIGHT(G273,2) &amp; IF(A273&lt;2,"x","")</f>
        <v>pm</v>
      </c>
      <c r="G273" s="420" t="s">
        <v>983</v>
      </c>
      <c r="H273" s="420" t="s">
        <v>288</v>
      </c>
      <c r="I273" s="420" t="s">
        <v>984</v>
      </c>
      <c r="K273" s="421">
        <f>LOOKUP(1E+100,M273:AB273)</f>
        <v>2442.0548160773888</v>
      </c>
      <c r="M273" s="421">
        <v>2400</v>
      </c>
      <c r="P273" s="420">
        <v>2442.0548160773888</v>
      </c>
    </row>
    <row r="274" spans="1:16" x14ac:dyDescent="0.3">
      <c r="A274" s="420">
        <v>2</v>
      </c>
      <c r="C274" s="420">
        <f>IF(E274=E273,C273+1,1)</f>
        <v>18</v>
      </c>
      <c r="D274" s="420">
        <f>IF(K274=K273,D273,C274)</f>
        <v>18</v>
      </c>
      <c r="E274" s="420">
        <f>10+VALUE(RIGHT(LEFT(G274,3),1))</f>
        <v>17</v>
      </c>
      <c r="F274" s="420" t="str">
        <f>RIGHT(G274,2) &amp; IF(A274&lt;2,"x","")</f>
        <v>pm</v>
      </c>
      <c r="G274" s="420" t="s">
        <v>981</v>
      </c>
      <c r="H274" s="420" t="s">
        <v>331</v>
      </c>
      <c r="I274" s="420" t="s">
        <v>982</v>
      </c>
      <c r="K274" s="421">
        <f>LOOKUP(1E+100,M274:AB274)</f>
        <v>2400</v>
      </c>
      <c r="M274" s="421">
        <v>2400</v>
      </c>
    </row>
    <row r="275" spans="1:16" x14ac:dyDescent="0.3">
      <c r="A275" s="420">
        <v>6</v>
      </c>
      <c r="C275" s="420">
        <f>IF(E275=E274,C274+1,1)</f>
        <v>19</v>
      </c>
      <c r="D275" s="420">
        <f>IF(K275=K274,D274,C275)</f>
        <v>19</v>
      </c>
      <c r="E275" s="420">
        <f>10+VALUE(RIGHT(LEFT(G275,3),1))</f>
        <v>17</v>
      </c>
      <c r="F275" s="420" t="str">
        <f>RIGHT(G275,2) &amp; IF(A275&lt;2,"x","")</f>
        <v>pm</v>
      </c>
      <c r="G275" s="420" t="s">
        <v>979</v>
      </c>
      <c r="H275" s="420" t="s">
        <v>224</v>
      </c>
      <c r="I275" s="420" t="s">
        <v>980</v>
      </c>
      <c r="K275" s="421">
        <f>LOOKUP(1E+100,M275:AB275)</f>
        <v>2355.1523846005416</v>
      </c>
      <c r="M275" s="421">
        <v>2400</v>
      </c>
      <c r="P275" s="420">
        <v>2355.1523846005416</v>
      </c>
    </row>
    <row r="276" spans="1:16" x14ac:dyDescent="0.3">
      <c r="A276" s="420">
        <v>4</v>
      </c>
      <c r="C276" s="420">
        <f>IF(E276=E275,C275+1,1)</f>
        <v>20</v>
      </c>
      <c r="D276" s="420">
        <f>IF(K276=K275,D275,C276)</f>
        <v>20</v>
      </c>
      <c r="E276" s="420">
        <f>10+VALUE(RIGHT(LEFT(G276,3),1))</f>
        <v>17</v>
      </c>
      <c r="F276" s="420" t="str">
        <f>RIGHT(G276,2) &amp; IF(A276&lt;2,"x","")</f>
        <v>pm</v>
      </c>
      <c r="G276" s="420" t="s">
        <v>977</v>
      </c>
      <c r="H276" s="420" t="s">
        <v>267</v>
      </c>
      <c r="I276" s="420" t="s">
        <v>978</v>
      </c>
      <c r="K276" s="421">
        <f>LOOKUP(1E+100,M276:AB276)</f>
        <v>2346.5420003592371</v>
      </c>
      <c r="M276" s="421">
        <v>2400</v>
      </c>
      <c r="N276" s="420">
        <v>2346.5420003592371</v>
      </c>
    </row>
    <row r="277" spans="1:16" x14ac:dyDescent="0.3">
      <c r="A277" s="420">
        <v>4</v>
      </c>
      <c r="C277" s="420">
        <f>IF(E277=E312,C312+1,1)</f>
        <v>1</v>
      </c>
      <c r="D277" s="420">
        <f>IF(K277=K312,D312,C277)</f>
        <v>1</v>
      </c>
      <c r="E277" s="420">
        <f>10+VALUE(RIGHT(LEFT(G277,3),1))</f>
        <v>17</v>
      </c>
      <c r="F277" s="420" t="str">
        <f>RIGHT(G277,2) &amp; IF(A277&lt;2,"x","")</f>
        <v>pm</v>
      </c>
      <c r="G277" s="420" t="s">
        <v>973</v>
      </c>
      <c r="H277" s="420" t="s">
        <v>554</v>
      </c>
      <c r="I277" s="420" t="s">
        <v>974</v>
      </c>
      <c r="K277" s="421">
        <f>LOOKUP(1E+100,M277:AB277)</f>
        <v>2323.6703423752951</v>
      </c>
      <c r="M277" s="421">
        <v>2400</v>
      </c>
      <c r="N277" s="420">
        <v>2323.6703423752951</v>
      </c>
    </row>
    <row r="278" spans="1:16" x14ac:dyDescent="0.3">
      <c r="A278" s="420">
        <v>2</v>
      </c>
      <c r="C278" s="420">
        <f>IF(E278=E277,C277+1,1)</f>
        <v>1</v>
      </c>
      <c r="D278" s="420">
        <f>IF(K278=K277,D277,C278)</f>
        <v>1</v>
      </c>
      <c r="E278" s="420">
        <f>10+VALUE(RIGHT(LEFT(G278,3),1))</f>
        <v>18</v>
      </c>
      <c r="F278" s="420" t="str">
        <f>RIGHT(G278,2) &amp; IF(A278&lt;2,"x","")</f>
        <v>pm</v>
      </c>
      <c r="G278" s="420" t="s">
        <v>1010</v>
      </c>
      <c r="H278" s="420" t="s">
        <v>215</v>
      </c>
      <c r="I278" s="420" t="s">
        <v>1011</v>
      </c>
      <c r="K278" s="421">
        <f>LOOKUP(1E+100,M278:AB278)</f>
        <v>3115.0197027601071</v>
      </c>
      <c r="M278" s="421">
        <v>3000</v>
      </c>
      <c r="P278" s="420">
        <v>3115.0197027601071</v>
      </c>
    </row>
    <row r="279" spans="1:16" x14ac:dyDescent="0.3">
      <c r="A279" s="420">
        <v>7</v>
      </c>
      <c r="C279" s="420">
        <f>IF(E279=E278,C278+1,1)</f>
        <v>2</v>
      </c>
      <c r="D279" s="420">
        <f>IF(K279=K278,D278,C279)</f>
        <v>2</v>
      </c>
      <c r="E279" s="420">
        <f>10+VALUE(RIGHT(LEFT(G279,3),1))</f>
        <v>18</v>
      </c>
      <c r="F279" s="420" t="str">
        <f>RIGHT(G279,2) &amp; IF(A279&lt;2,"x","")</f>
        <v>pm</v>
      </c>
      <c r="G279" s="420" t="s">
        <v>1002</v>
      </c>
      <c r="H279" s="420" t="s">
        <v>278</v>
      </c>
      <c r="I279" s="420" t="s">
        <v>1003</v>
      </c>
      <c r="K279" s="421">
        <f>LOOKUP(1E+100,M279:AB279)</f>
        <v>3057.8410454728637</v>
      </c>
      <c r="M279" s="421">
        <v>3000</v>
      </c>
      <c r="O279" s="420">
        <v>3041.9807671510221</v>
      </c>
      <c r="P279" s="420">
        <v>3057.8410454728637</v>
      </c>
    </row>
    <row r="280" spans="1:16" x14ac:dyDescent="0.3">
      <c r="A280" s="420">
        <v>3</v>
      </c>
      <c r="C280" s="420">
        <f>IF(E280=E279,C279+1,1)</f>
        <v>3</v>
      </c>
      <c r="D280" s="420">
        <f>IF(K280=K279,D279,C280)</f>
        <v>3</v>
      </c>
      <c r="E280" s="420">
        <f>10+VALUE(RIGHT(LEFT(G280,3),1))</f>
        <v>18</v>
      </c>
      <c r="F280" s="420" t="str">
        <f>RIGHT(G280,2) &amp; IF(A280&lt;2,"x","")</f>
        <v>pm</v>
      </c>
      <c r="G280" s="420" t="s">
        <v>1014</v>
      </c>
      <c r="H280" s="420" t="s">
        <v>283</v>
      </c>
      <c r="I280" s="420" t="s">
        <v>1015</v>
      </c>
      <c r="K280" s="421">
        <f>LOOKUP(1E+100,M280:AB280)</f>
        <v>3053.6663858700913</v>
      </c>
      <c r="M280" s="421">
        <v>3000</v>
      </c>
      <c r="O280" s="420">
        <v>3053.6663858700913</v>
      </c>
    </row>
    <row r="281" spans="1:16" x14ac:dyDescent="0.3">
      <c r="A281" s="420">
        <v>3</v>
      </c>
      <c r="C281" s="420">
        <f>IF(E281=E280,C280+1,1)</f>
        <v>4</v>
      </c>
      <c r="D281" s="420">
        <f>IF(K281=K280,D280,C281)</f>
        <v>4</v>
      </c>
      <c r="E281" s="420">
        <f>10+VALUE(RIGHT(LEFT(G281,3),1))</f>
        <v>18</v>
      </c>
      <c r="F281" s="420" t="str">
        <f>RIGHT(G281,2) &amp; IF(A281&lt;2,"x","")</f>
        <v>pm</v>
      </c>
      <c r="G281" s="420" t="s">
        <v>1000</v>
      </c>
      <c r="H281" s="420" t="s">
        <v>243</v>
      </c>
      <c r="I281" s="420" t="s">
        <v>1001</v>
      </c>
      <c r="K281" s="421">
        <f>LOOKUP(1E+100,M281:AB281)</f>
        <v>3052.4034884576249</v>
      </c>
      <c r="M281" s="421">
        <v>3000</v>
      </c>
      <c r="P281" s="420">
        <v>3052.4034884576249</v>
      </c>
    </row>
    <row r="282" spans="1:16" x14ac:dyDescent="0.3">
      <c r="A282" s="420">
        <v>2</v>
      </c>
      <c r="C282" s="420">
        <f>IF(E282=E281,C281+1,1)</f>
        <v>5</v>
      </c>
      <c r="D282" s="420">
        <f>IF(K282=K281,D281,C282)</f>
        <v>5</v>
      </c>
      <c r="E282" s="420">
        <f>10+VALUE(RIGHT(LEFT(G282,3),1))</f>
        <v>18</v>
      </c>
      <c r="F282" s="420" t="str">
        <f>RIGHT(G282,2) &amp; IF(A282&lt;2,"x","")</f>
        <v>pm</v>
      </c>
      <c r="G282" s="420" t="s">
        <v>1020</v>
      </c>
      <c r="H282" s="420" t="s">
        <v>491</v>
      </c>
      <c r="I282" s="420" t="s">
        <v>1021</v>
      </c>
      <c r="K282" s="421">
        <f>LOOKUP(1E+100,M282:AB282)</f>
        <v>3049.1452363505205</v>
      </c>
      <c r="M282" s="421">
        <v>3000</v>
      </c>
      <c r="P282" s="420">
        <v>3049.1452363505205</v>
      </c>
    </row>
    <row r="283" spans="1:16" x14ac:dyDescent="0.3">
      <c r="A283" s="420">
        <v>5</v>
      </c>
      <c r="C283" s="420">
        <f>IF(E283=E282,C282+1,1)</f>
        <v>6</v>
      </c>
      <c r="D283" s="420">
        <f>IF(K283=K282,D282,C283)</f>
        <v>6</v>
      </c>
      <c r="E283" s="420">
        <f>10+VALUE(RIGHT(LEFT(G283,3),1))</f>
        <v>18</v>
      </c>
      <c r="F283" s="420" t="str">
        <f>RIGHT(G283,2) &amp; IF(A283&lt;2,"x","")</f>
        <v>pm</v>
      </c>
      <c r="G283" s="420" t="s">
        <v>1018</v>
      </c>
      <c r="H283" s="420" t="s">
        <v>437</v>
      </c>
      <c r="I283" s="420" t="s">
        <v>1019</v>
      </c>
      <c r="K283" s="421">
        <f>LOOKUP(1E+100,M283:AB283)</f>
        <v>3012.2022182610085</v>
      </c>
      <c r="M283" s="421">
        <v>3000</v>
      </c>
      <c r="P283" s="420">
        <v>3012.2022182610085</v>
      </c>
    </row>
    <row r="284" spans="1:16" x14ac:dyDescent="0.3">
      <c r="A284" s="420">
        <v>3</v>
      </c>
      <c r="C284" s="420">
        <f>IF(E284=E283,C283+1,1)</f>
        <v>7</v>
      </c>
      <c r="D284" s="420">
        <f>IF(K284=K283,D283,C284)</f>
        <v>7</v>
      </c>
      <c r="E284" s="420">
        <f>10+VALUE(RIGHT(LEFT(G284,3),1))</f>
        <v>18</v>
      </c>
      <c r="F284" s="420" t="str">
        <f>RIGHT(G284,2) &amp; IF(A284&lt;2,"x","")</f>
        <v>pm</v>
      </c>
      <c r="G284" s="420" t="s">
        <v>996</v>
      </c>
      <c r="H284" s="420" t="s">
        <v>539</v>
      </c>
      <c r="I284" s="420" t="s">
        <v>997</v>
      </c>
      <c r="K284" s="421">
        <f>LOOKUP(1E+100,M284:AB284)</f>
        <v>3000</v>
      </c>
      <c r="M284" s="421">
        <v>3000</v>
      </c>
    </row>
    <row r="285" spans="1:16" x14ac:dyDescent="0.3">
      <c r="A285" s="420">
        <v>2</v>
      </c>
      <c r="C285" s="420">
        <f>IF(E285=E284,C284+1,1)</f>
        <v>8</v>
      </c>
      <c r="D285" s="420">
        <f>IF(K285=K284,D284,C285)</f>
        <v>7</v>
      </c>
      <c r="E285" s="420">
        <f>10+VALUE(RIGHT(LEFT(G285,3),1))</f>
        <v>18</v>
      </c>
      <c r="F285" s="420" t="str">
        <f>RIGHT(G285,2) &amp; IF(A285&lt;2,"x","")</f>
        <v>pm</v>
      </c>
      <c r="G285" s="420" t="s">
        <v>1016</v>
      </c>
      <c r="H285" s="420" t="s">
        <v>288</v>
      </c>
      <c r="I285" s="420" t="s">
        <v>1017</v>
      </c>
      <c r="K285" s="421">
        <f>LOOKUP(1E+100,M285:AB285)</f>
        <v>3000</v>
      </c>
      <c r="M285" s="421">
        <v>3000</v>
      </c>
    </row>
    <row r="286" spans="1:16" x14ac:dyDescent="0.3">
      <c r="A286" s="420">
        <v>5</v>
      </c>
      <c r="C286" s="420">
        <f>IF(E286=E285,C285+1,1)</f>
        <v>9</v>
      </c>
      <c r="D286" s="420">
        <f>IF(K286=K285,D285,C286)</f>
        <v>9</v>
      </c>
      <c r="E286" s="420">
        <f>10+VALUE(RIGHT(LEFT(G286,3),1))</f>
        <v>18</v>
      </c>
      <c r="F286" s="420" t="str">
        <f>RIGHT(G286,2) &amp; IF(A286&lt;2,"x","")</f>
        <v>pm</v>
      </c>
      <c r="G286" s="420" t="s">
        <v>1008</v>
      </c>
      <c r="H286" s="420" t="s">
        <v>715</v>
      </c>
      <c r="I286" s="420" t="s">
        <v>1009</v>
      </c>
      <c r="K286" s="421">
        <f>LOOKUP(1E+100,M286:AB286)</f>
        <v>2995.9428308489555</v>
      </c>
      <c r="M286" s="421">
        <v>3000</v>
      </c>
      <c r="P286" s="420">
        <v>2995.9428308489555</v>
      </c>
    </row>
    <row r="287" spans="1:16" x14ac:dyDescent="0.3">
      <c r="A287" s="420">
        <v>2</v>
      </c>
      <c r="C287" s="420">
        <f>IF(E287=E286,C286+1,1)</f>
        <v>10</v>
      </c>
      <c r="D287" s="420">
        <f>IF(K287=K286,D286,C287)</f>
        <v>10</v>
      </c>
      <c r="E287" s="420">
        <f>10+VALUE(RIGHT(LEFT(G287,3),1))</f>
        <v>18</v>
      </c>
      <c r="F287" s="420" t="str">
        <f>RIGHT(G287,2) &amp; IF(A287&lt;2,"x","")</f>
        <v>pm</v>
      </c>
      <c r="G287" s="420" t="s">
        <v>1006</v>
      </c>
      <c r="H287" s="420" t="s">
        <v>349</v>
      </c>
      <c r="I287" s="420" t="s">
        <v>1007</v>
      </c>
      <c r="K287" s="421">
        <f>LOOKUP(1E+100,M287:AB287)</f>
        <v>2940.4015103432962</v>
      </c>
      <c r="M287" s="421">
        <v>3000</v>
      </c>
      <c r="P287" s="420">
        <v>2940.4015103432962</v>
      </c>
    </row>
    <row r="288" spans="1:16" x14ac:dyDescent="0.3">
      <c r="A288" s="420">
        <v>2</v>
      </c>
      <c r="C288" s="420">
        <f>IF(E288=E287,C287+1,1)</f>
        <v>11</v>
      </c>
      <c r="D288" s="420">
        <f>IF(K288=K287,D287,C288)</f>
        <v>11</v>
      </c>
      <c r="E288" s="420">
        <f>10+VALUE(RIGHT(LEFT(G288,3),1))</f>
        <v>18</v>
      </c>
      <c r="F288" s="420" t="str">
        <f>RIGHT(G288,2) &amp; IF(A288&lt;2,"x","")</f>
        <v>pm</v>
      </c>
      <c r="G288" s="420" t="s">
        <v>1012</v>
      </c>
      <c r="H288" s="420" t="s">
        <v>215</v>
      </c>
      <c r="I288" s="420" t="s">
        <v>1013</v>
      </c>
      <c r="K288" s="421">
        <f>LOOKUP(1E+100,M288:AB288)</f>
        <v>2895.3037348332809</v>
      </c>
      <c r="M288" s="421">
        <v>3000</v>
      </c>
      <c r="P288" s="420">
        <v>2895.3037348332809</v>
      </c>
    </row>
    <row r="289" spans="1:16" x14ac:dyDescent="0.3">
      <c r="A289" s="420">
        <v>7</v>
      </c>
      <c r="C289" s="420">
        <f>IF(E289=E288,C288+1,1)</f>
        <v>12</v>
      </c>
      <c r="D289" s="420">
        <f>IF(K289=K288,D288,C289)</f>
        <v>12</v>
      </c>
      <c r="E289" s="420">
        <f>10+VALUE(RIGHT(LEFT(G289,3),1))</f>
        <v>18</v>
      </c>
      <c r="F289" s="420" t="str">
        <f>RIGHT(G289,2) &amp; IF(A289&lt;2,"x","")</f>
        <v>pm</v>
      </c>
      <c r="G289" s="420" t="s">
        <v>1004</v>
      </c>
      <c r="H289" s="420" t="s">
        <v>278</v>
      </c>
      <c r="I289" s="420" t="s">
        <v>1005</v>
      </c>
      <c r="K289" s="421">
        <f>LOOKUP(1E+100,M289:AB289)</f>
        <v>2862.3746207039353</v>
      </c>
      <c r="M289" s="421">
        <v>3000</v>
      </c>
      <c r="O289" s="420">
        <v>2918.7916428536187</v>
      </c>
      <c r="P289" s="420">
        <v>2862.3746207039353</v>
      </c>
    </row>
    <row r="290" spans="1:16" x14ac:dyDescent="0.3">
      <c r="A290" s="420">
        <v>2</v>
      </c>
      <c r="C290" s="420">
        <f>IF(E290=E289,C289+1,1)</f>
        <v>13</v>
      </c>
      <c r="D290" s="420">
        <f>IF(K290=K289,D289,C290)</f>
        <v>13</v>
      </c>
      <c r="E290" s="420">
        <f>10+VALUE(RIGHT(LEFT(G290,3),1))</f>
        <v>18</v>
      </c>
      <c r="F290" s="420" t="str">
        <f>RIGHT(G290,2) &amp; IF(A290&lt;2,"x","")</f>
        <v>pm</v>
      </c>
      <c r="G290" s="420" t="s">
        <v>1041</v>
      </c>
      <c r="H290" s="420" t="s">
        <v>727</v>
      </c>
      <c r="I290" s="420" t="s">
        <v>1042</v>
      </c>
      <c r="K290" s="421">
        <f>LOOKUP(1E+100,M290:AB290)</f>
        <v>2784.3704638645931</v>
      </c>
      <c r="M290" s="421">
        <v>2800</v>
      </c>
      <c r="N290" s="420">
        <v>2784.3704638645931</v>
      </c>
    </row>
    <row r="291" spans="1:16" x14ac:dyDescent="0.3">
      <c r="A291" s="420">
        <v>2</v>
      </c>
      <c r="C291" s="420">
        <f>IF(E291=E289,C289+1,1)</f>
        <v>13</v>
      </c>
      <c r="D291" s="420">
        <f>IF(K291=K289,D289,C291)</f>
        <v>13</v>
      </c>
      <c r="E291" s="420">
        <f>10+VALUE(RIGHT(LEFT(G291,3),1))</f>
        <v>18</v>
      </c>
      <c r="F291" s="420" t="str">
        <f>RIGHT(G291,2) &amp; IF(A291&lt;2,"x","")</f>
        <v>pm</v>
      </c>
      <c r="G291" s="420" t="s">
        <v>1047</v>
      </c>
      <c r="H291" s="420" t="s">
        <v>758</v>
      </c>
      <c r="I291" s="420" t="s">
        <v>1048</v>
      </c>
      <c r="K291" s="421">
        <f>LOOKUP(1E+100,M291:AB291)</f>
        <v>2600</v>
      </c>
      <c r="M291" s="421">
        <v>2600</v>
      </c>
    </row>
    <row r="292" spans="1:16" x14ac:dyDescent="0.3">
      <c r="A292" s="420">
        <v>6</v>
      </c>
      <c r="C292" s="420">
        <f>IF(E292=E291,C291+1,1)</f>
        <v>14</v>
      </c>
      <c r="D292" s="420">
        <f>IF(K292=K291,D291,C292)</f>
        <v>14</v>
      </c>
      <c r="E292" s="420">
        <f>10+VALUE(RIGHT(LEFT(G292,3),1))</f>
        <v>18</v>
      </c>
      <c r="F292" s="420" t="str">
        <f>RIGHT(G292,2) &amp; IF(A292&lt;2,"x","")</f>
        <v>pm</v>
      </c>
      <c r="G292" s="420" t="s">
        <v>1043</v>
      </c>
      <c r="H292" s="420" t="s">
        <v>891</v>
      </c>
      <c r="I292" s="420" t="s">
        <v>1044</v>
      </c>
      <c r="K292" s="421">
        <f>LOOKUP(1E+100,M292:AB292)</f>
        <v>2560.6143683105338</v>
      </c>
      <c r="M292" s="421">
        <v>2600</v>
      </c>
      <c r="N292" s="420">
        <v>2598.4897616641106</v>
      </c>
      <c r="P292" s="420">
        <v>2560.6143683105338</v>
      </c>
    </row>
    <row r="293" spans="1:16" x14ac:dyDescent="0.3">
      <c r="A293" s="420">
        <v>6</v>
      </c>
      <c r="C293" s="420">
        <f>IF(E293=E257,C257+1,1)</f>
        <v>1</v>
      </c>
      <c r="D293" s="420">
        <f>IF(K293=K257,D257,C293)</f>
        <v>1</v>
      </c>
      <c r="E293" s="420">
        <f>10+VALUE(RIGHT(LEFT(G293,3),1))</f>
        <v>18</v>
      </c>
      <c r="F293" s="420" t="str">
        <f>RIGHT(G293,2) &amp; IF(A293&lt;2,"x","")</f>
        <v>pm</v>
      </c>
      <c r="G293" s="419" t="s">
        <v>1045</v>
      </c>
      <c r="H293" s="420" t="s">
        <v>891</v>
      </c>
      <c r="I293" s="420" t="s">
        <v>1046</v>
      </c>
      <c r="K293" s="421">
        <f>LOOKUP(1E+100,M293:AB293)</f>
        <v>2514.0032889712584</v>
      </c>
      <c r="M293" s="421">
        <v>2600</v>
      </c>
      <c r="N293" s="420">
        <v>2513.8626072183683</v>
      </c>
      <c r="P293" s="420">
        <v>2514.0032889712584</v>
      </c>
    </row>
    <row r="294" spans="1:16" x14ac:dyDescent="0.3">
      <c r="A294" s="420">
        <v>7</v>
      </c>
      <c r="C294" s="420">
        <f>IF(E294=E293,C293+1,1)</f>
        <v>2</v>
      </c>
      <c r="D294" s="420">
        <f>IF(K294=K293,D293,C294)</f>
        <v>2</v>
      </c>
      <c r="E294" s="420">
        <f>10+VALUE(RIGHT(LEFT(G294,3),1))</f>
        <v>18</v>
      </c>
      <c r="F294" s="420" t="str">
        <f>RIGHT(G294,2) &amp; IF(A294&lt;2,"x","")</f>
        <v>pm</v>
      </c>
      <c r="G294" s="420" t="s">
        <v>1049</v>
      </c>
      <c r="H294" s="420" t="s">
        <v>761</v>
      </c>
      <c r="I294" s="420" t="s">
        <v>1050</v>
      </c>
      <c r="K294" s="421">
        <f>LOOKUP(1E+100,M294:AB294)</f>
        <v>2503.6831965637493</v>
      </c>
      <c r="M294" s="421">
        <v>2600</v>
      </c>
      <c r="N294" s="420">
        <v>2509.9742813075081</v>
      </c>
      <c r="P294" s="420">
        <v>2503.6831965637493</v>
      </c>
    </row>
    <row r="295" spans="1:16" x14ac:dyDescent="0.3">
      <c r="A295" s="420">
        <v>2</v>
      </c>
      <c r="C295" s="420">
        <f>IF(E295=E294,C294+1,1)</f>
        <v>3</v>
      </c>
      <c r="D295" s="420">
        <f>IF(K295=K294,D294,C295)</f>
        <v>3</v>
      </c>
      <c r="E295" s="420">
        <f>10+VALUE(RIGHT(LEFT(G295,3),1))</f>
        <v>18</v>
      </c>
      <c r="F295" s="420" t="str">
        <f>RIGHT(G295,2) &amp; IF(A295&lt;2,"x","")</f>
        <v>pm</v>
      </c>
      <c r="G295" s="420" t="s">
        <v>1051</v>
      </c>
      <c r="H295" s="420" t="s">
        <v>437</v>
      </c>
      <c r="I295" s="420" t="s">
        <v>1052</v>
      </c>
      <c r="K295" s="421">
        <f>LOOKUP(1E+100,M295:AB295)</f>
        <v>2476.9796027233456</v>
      </c>
      <c r="M295" s="421">
        <v>2600</v>
      </c>
      <c r="P295" s="420">
        <v>2476.9796027233456</v>
      </c>
    </row>
    <row r="358" ht="16.2" customHeight="1" x14ac:dyDescent="0.3"/>
    <row r="407" spans="7:9" ht="15" thickBot="1" x14ac:dyDescent="0.35"/>
    <row r="408" spans="7:9" ht="15" thickBot="1" x14ac:dyDescent="0.35">
      <c r="G408" s="427"/>
      <c r="H408" s="427"/>
      <c r="I408" s="427"/>
    </row>
    <row r="409" spans="7:9" ht="15" thickBot="1" x14ac:dyDescent="0.35">
      <c r="G409" s="427"/>
      <c r="H409" s="427"/>
      <c r="I409" s="427"/>
    </row>
    <row r="410" spans="7:9" ht="15" thickBot="1" x14ac:dyDescent="0.35">
      <c r="G410" s="427"/>
      <c r="H410" s="427"/>
      <c r="I410" s="427"/>
    </row>
    <row r="411" spans="7:9" ht="15" thickBot="1" x14ac:dyDescent="0.35">
      <c r="G411" s="427"/>
      <c r="H411" s="427"/>
      <c r="I411" s="427"/>
    </row>
    <row r="412" spans="7:9" ht="15" thickBot="1" x14ac:dyDescent="0.35">
      <c r="G412" s="427"/>
      <c r="H412" s="427"/>
      <c r="I412" s="427"/>
    </row>
    <row r="413" spans="7:9" ht="15" thickBot="1" x14ac:dyDescent="0.35"/>
    <row r="414" spans="7:9" ht="15" thickBot="1" x14ac:dyDescent="0.35">
      <c r="G414" s="427"/>
      <c r="H414" s="427"/>
      <c r="I414" s="427"/>
    </row>
    <row r="415" spans="7:9" ht="15" thickBot="1" x14ac:dyDescent="0.35">
      <c r="G415" s="427"/>
      <c r="H415" s="427"/>
      <c r="I415" s="427"/>
    </row>
    <row r="416" spans="7:9" ht="15" thickBot="1" x14ac:dyDescent="0.35">
      <c r="G416" s="427"/>
      <c r="H416" s="427"/>
      <c r="I416" s="427"/>
    </row>
    <row r="417" spans="7:9" ht="15" thickBot="1" x14ac:dyDescent="0.35">
      <c r="G417" s="428"/>
      <c r="H417" s="428"/>
      <c r="I417" s="427"/>
    </row>
    <row r="418" spans="7:9" ht="15" thickBot="1" x14ac:dyDescent="0.35">
      <c r="G418" s="427"/>
      <c r="H418" s="427"/>
      <c r="I418" s="427"/>
    </row>
    <row r="419" spans="7:9" ht="15" thickBot="1" x14ac:dyDescent="0.35"/>
    <row r="420" spans="7:9" ht="15" thickBot="1" x14ac:dyDescent="0.35">
      <c r="G420" s="427"/>
      <c r="H420" s="427"/>
      <c r="I420" s="427"/>
    </row>
  </sheetData>
  <sortState ref="A2:AI420">
    <sortCondition ref="E2:E999"/>
    <sortCondition descending="1" ref="K2:K999"/>
    <sortCondition ref="G2:G999"/>
  </sortState>
  <conditionalFormatting sqref="G1:I1">
    <cfRule type="containsText" dxfId="494" priority="356" operator="containsText" text="CSRA">
      <formula>NOT(ISERROR(SEARCH("CSRA",G1)))</formula>
    </cfRule>
  </conditionalFormatting>
  <conditionalFormatting sqref="AJ1:XFD403 A1:AG403 A407:AG407 AJ407:XFD1048576 A413:AG413 J408:AG412 A419:AG419 J414:AG418 A421:AG1048576 J420:AG420">
    <cfRule type="expression" dxfId="493" priority="411">
      <formula>$E1&lt;12</formula>
    </cfRule>
    <cfRule type="expression" dxfId="492" priority="412">
      <formula>$E1=18</formula>
    </cfRule>
    <cfRule type="expression" dxfId="491" priority="413">
      <formula>$E1=17</formula>
    </cfRule>
    <cfRule type="expression" dxfId="490" priority="414">
      <formula>$E1=16</formula>
    </cfRule>
    <cfRule type="expression" dxfId="489" priority="415">
      <formula>$E1=15</formula>
    </cfRule>
    <cfRule type="expression" dxfId="488" priority="416">
      <formula>$E1=14</formula>
    </cfRule>
    <cfRule type="expression" dxfId="487" priority="417">
      <formula>$E1=13</formula>
    </cfRule>
    <cfRule type="expression" dxfId="486" priority="418">
      <formula>$E1=12</formula>
    </cfRule>
  </conditionalFormatting>
  <conditionalFormatting sqref="AJ1:XFD403 A1:AG403 A407:AG407 AJ407:XFD1048576 A413:AG413 J408:AG412 A419:AG419 J414:AG418 A421:AG1048576 J420:AG420">
    <cfRule type="expression" dxfId="485" priority="402">
      <formula>$E1=10</formula>
    </cfRule>
    <cfRule type="expression" dxfId="484" priority="403">
      <formula>$E1=11</formula>
    </cfRule>
    <cfRule type="expression" dxfId="483" priority="404">
      <formula>$E1=18</formula>
    </cfRule>
    <cfRule type="expression" dxfId="482" priority="405">
      <formula>$E1=17</formula>
    </cfRule>
    <cfRule type="expression" dxfId="481" priority="406">
      <formula>$E1=16</formula>
    </cfRule>
    <cfRule type="expression" dxfId="480" priority="407">
      <formula>$E1=15</formula>
    </cfRule>
    <cfRule type="expression" dxfId="479" priority="408">
      <formula>$E1=14</formula>
    </cfRule>
    <cfRule type="expression" dxfId="478" priority="409">
      <formula>$E1=13</formula>
    </cfRule>
    <cfRule type="expression" dxfId="477" priority="410">
      <formula>$E1=12</formula>
    </cfRule>
  </conditionalFormatting>
  <conditionalFormatting sqref="N255:AG255 AJ255:XFD255">
    <cfRule type="expression" dxfId="476" priority="393">
      <formula>$E255=10</formula>
    </cfRule>
    <cfRule type="expression" dxfId="475" priority="394">
      <formula>$E255=11</formula>
    </cfRule>
    <cfRule type="expression" dxfId="474" priority="395">
      <formula>$E255=18</formula>
    </cfRule>
    <cfRule type="expression" dxfId="473" priority="396">
      <formula>$E255=17</formula>
    </cfRule>
    <cfRule type="expression" dxfId="472" priority="397">
      <formula>$E255=16</formula>
    </cfRule>
    <cfRule type="expression" dxfId="471" priority="398">
      <formula>$E255=15</formula>
    </cfRule>
    <cfRule type="expression" dxfId="470" priority="399">
      <formula>$E255=14</formula>
    </cfRule>
    <cfRule type="expression" dxfId="469" priority="400">
      <formula>$E255=13</formula>
    </cfRule>
    <cfRule type="expression" dxfId="468" priority="401">
      <formula>$E255=12</formula>
    </cfRule>
  </conditionalFormatting>
  <conditionalFormatting sqref="AJ265:XFD268 IW258:XFD263 N265:AG268">
    <cfRule type="expression" dxfId="467" priority="384">
      <formula>$E258=10</formula>
    </cfRule>
    <cfRule type="expression" dxfId="466" priority="385">
      <formula>$E258=11</formula>
    </cfRule>
    <cfRule type="expression" dxfId="465" priority="386">
      <formula>$E258=18</formula>
    </cfRule>
    <cfRule type="expression" dxfId="464" priority="387">
      <formula>$E258=17</formula>
    </cfRule>
    <cfRule type="expression" dxfId="463" priority="388">
      <formula>$E258=16</formula>
    </cfRule>
    <cfRule type="expression" dxfId="462" priority="389">
      <formula>$E258=15</formula>
    </cfRule>
    <cfRule type="expression" dxfId="461" priority="390">
      <formula>$E258=14</formula>
    </cfRule>
    <cfRule type="expression" dxfId="460" priority="391">
      <formula>$E258=13</formula>
    </cfRule>
    <cfRule type="expression" dxfId="459" priority="392">
      <formula>$E258=12</formula>
    </cfRule>
  </conditionalFormatting>
  <conditionalFormatting sqref="N261:AG263 AJ261:IV263">
    <cfRule type="expression" dxfId="458" priority="375">
      <formula>$E261=10</formula>
    </cfRule>
    <cfRule type="expression" dxfId="457" priority="376">
      <formula>$E261=11</formula>
    </cfRule>
    <cfRule type="expression" dxfId="456" priority="377">
      <formula>$E261=18</formula>
    </cfRule>
    <cfRule type="expression" dxfId="455" priority="378">
      <formula>$E261=17</formula>
    </cfRule>
    <cfRule type="expression" dxfId="454" priority="379">
      <formula>$E261=16</formula>
    </cfRule>
    <cfRule type="expression" dxfId="453" priority="380">
      <formula>$E261=15</formula>
    </cfRule>
    <cfRule type="expression" dxfId="452" priority="381">
      <formula>$E261=14</formula>
    </cfRule>
    <cfRule type="expression" dxfId="451" priority="382">
      <formula>$E261=13</formula>
    </cfRule>
    <cfRule type="expression" dxfId="450" priority="383">
      <formula>$E261=12</formula>
    </cfRule>
  </conditionalFormatting>
  <conditionalFormatting sqref="H261">
    <cfRule type="expression" dxfId="449" priority="320">
      <formula>$E261=10</formula>
    </cfRule>
    <cfRule type="expression" dxfId="448" priority="321">
      <formula>$E261=11</formula>
    </cfRule>
    <cfRule type="expression" dxfId="447" priority="322">
      <formula>$E261=18</formula>
    </cfRule>
    <cfRule type="expression" dxfId="446" priority="323">
      <formula>$E261=17</formula>
    </cfRule>
    <cfRule type="expression" dxfId="445" priority="324">
      <formula>$E261=16</formula>
    </cfRule>
    <cfRule type="expression" dxfId="444" priority="325">
      <formula>$E261=15</formula>
    </cfRule>
    <cfRule type="expression" dxfId="443" priority="326">
      <formula>$E261=14</formula>
    </cfRule>
    <cfRule type="expression" dxfId="442" priority="327">
      <formula>$E261=13</formula>
    </cfRule>
    <cfRule type="expression" dxfId="441" priority="328">
      <formula>$E261=12</formula>
    </cfRule>
  </conditionalFormatting>
  <conditionalFormatting sqref="N258:AG260 AJ258:IV260">
    <cfRule type="expression" dxfId="440" priority="366">
      <formula>$E258=10</formula>
    </cfRule>
    <cfRule type="expression" dxfId="439" priority="367">
      <formula>$E258=11</formula>
    </cfRule>
    <cfRule type="expression" dxfId="438" priority="368">
      <formula>$E258=18</formula>
    </cfRule>
    <cfRule type="expression" dxfId="437" priority="369">
      <formula>$E258=17</formula>
    </cfRule>
    <cfRule type="expression" dxfId="436" priority="370">
      <formula>$E258=16</formula>
    </cfRule>
    <cfRule type="expression" dxfId="435" priority="371">
      <formula>$E258=15</formula>
    </cfRule>
    <cfRule type="expression" dxfId="434" priority="372">
      <formula>$E258=14</formula>
    </cfRule>
    <cfRule type="expression" dxfId="433" priority="373">
      <formula>$E258=13</formula>
    </cfRule>
    <cfRule type="expression" dxfId="432" priority="374">
      <formula>$E258=12</formula>
    </cfRule>
  </conditionalFormatting>
  <conditionalFormatting sqref="N264:AG264 AJ264:XFD264">
    <cfRule type="expression" dxfId="431" priority="357">
      <formula>$E264=10</formula>
    </cfRule>
    <cfRule type="expression" dxfId="430" priority="358">
      <formula>$E264=11</formula>
    </cfRule>
    <cfRule type="expression" dxfId="429" priority="359">
      <formula>$E264=18</formula>
    </cfRule>
    <cfRule type="expression" dxfId="428" priority="360">
      <formula>$E264=17</formula>
    </cfRule>
    <cfRule type="expression" dxfId="427" priority="361">
      <formula>$E264=16</formula>
    </cfRule>
    <cfRule type="expression" dxfId="426" priority="362">
      <formula>$E264=15</formula>
    </cfRule>
    <cfRule type="expression" dxfId="425" priority="363">
      <formula>$E264=14</formula>
    </cfRule>
    <cfRule type="expression" dxfId="424" priority="364">
      <formula>$E264=13</formula>
    </cfRule>
    <cfRule type="expression" dxfId="423" priority="365">
      <formula>$E264=12</formula>
    </cfRule>
  </conditionalFormatting>
  <conditionalFormatting sqref="M264">
    <cfRule type="expression" dxfId="422" priority="293">
      <formula>$E264=10</formula>
    </cfRule>
    <cfRule type="expression" dxfId="421" priority="294">
      <formula>$E264=11</formula>
    </cfRule>
    <cfRule type="expression" dxfId="420" priority="295">
      <formula>$E264=18</formula>
    </cfRule>
    <cfRule type="expression" dxfId="419" priority="296">
      <formula>$E264=17</formula>
    </cfRule>
    <cfRule type="expression" dxfId="418" priority="297">
      <formula>$E264=16</formula>
    </cfRule>
    <cfRule type="expression" dxfId="417" priority="298">
      <formula>$E264=15</formula>
    </cfRule>
    <cfRule type="expression" dxfId="416" priority="299">
      <formula>$E264=14</formula>
    </cfRule>
    <cfRule type="expression" dxfId="415" priority="300">
      <formula>$E264=13</formula>
    </cfRule>
    <cfRule type="expression" dxfId="414" priority="301">
      <formula>$E264=12</formula>
    </cfRule>
  </conditionalFormatting>
  <conditionalFormatting sqref="K264">
    <cfRule type="expression" dxfId="413" priority="284">
      <formula>$E264=10</formula>
    </cfRule>
    <cfRule type="expression" dxfId="412" priority="285">
      <formula>$E264=11</formula>
    </cfRule>
    <cfRule type="expression" dxfId="411" priority="286">
      <formula>$E264=18</formula>
    </cfRule>
    <cfRule type="expression" dxfId="410" priority="287">
      <formula>$E264=17</formula>
    </cfRule>
    <cfRule type="expression" dxfId="409" priority="288">
      <formula>$E264=16</formula>
    </cfRule>
    <cfRule type="expression" dxfId="408" priority="289">
      <formula>$E264=15</formula>
    </cfRule>
    <cfRule type="expression" dxfId="407" priority="290">
      <formula>$E264=14</formula>
    </cfRule>
    <cfRule type="expression" dxfId="406" priority="291">
      <formula>$E264=13</formula>
    </cfRule>
    <cfRule type="expression" dxfId="405" priority="292">
      <formula>$E264=12</formula>
    </cfRule>
  </conditionalFormatting>
  <conditionalFormatting sqref="G264">
    <cfRule type="expression" dxfId="404" priority="275">
      <formula>$E264=10</formula>
    </cfRule>
    <cfRule type="expression" dxfId="403" priority="276">
      <formula>$E264=11</formula>
    </cfRule>
    <cfRule type="expression" dxfId="402" priority="277">
      <formula>$E264=18</formula>
    </cfRule>
    <cfRule type="expression" dxfId="401" priority="278">
      <formula>$E264=17</formula>
    </cfRule>
    <cfRule type="expression" dxfId="400" priority="279">
      <formula>$E264=16</formula>
    </cfRule>
    <cfRule type="expression" dxfId="399" priority="280">
      <formula>$E264=15</formula>
    </cfRule>
    <cfRule type="expression" dxfId="398" priority="281">
      <formula>$E264=14</formula>
    </cfRule>
    <cfRule type="expression" dxfId="397" priority="282">
      <formula>$E264=13</formula>
    </cfRule>
    <cfRule type="expression" dxfId="396" priority="283">
      <formula>$E264=12</formula>
    </cfRule>
  </conditionalFormatting>
  <conditionalFormatting sqref="C264:F264">
    <cfRule type="expression" dxfId="395" priority="266">
      <formula>$E264=10</formula>
    </cfRule>
    <cfRule type="expression" dxfId="394" priority="267">
      <formula>$E264=11</formula>
    </cfRule>
    <cfRule type="expression" dxfId="393" priority="268">
      <formula>$E264=18</formula>
    </cfRule>
    <cfRule type="expression" dxfId="392" priority="269">
      <formula>$E264=17</formula>
    </cfRule>
    <cfRule type="expression" dxfId="391" priority="270">
      <formula>$E264=16</formula>
    </cfRule>
    <cfRule type="expression" dxfId="390" priority="271">
      <formula>$E264=15</formula>
    </cfRule>
    <cfRule type="expression" dxfId="389" priority="272">
      <formula>$E264=14</formula>
    </cfRule>
    <cfRule type="expression" dxfId="388" priority="273">
      <formula>$E264=13</formula>
    </cfRule>
    <cfRule type="expression" dxfId="387" priority="274">
      <formula>$E264=12</formula>
    </cfRule>
  </conditionalFormatting>
  <conditionalFormatting sqref="A255:M255">
    <cfRule type="expression" dxfId="386" priority="347">
      <formula>$E255=10</formula>
    </cfRule>
    <cfRule type="expression" dxfId="385" priority="348">
      <formula>$E255=11</formula>
    </cfRule>
    <cfRule type="expression" dxfId="384" priority="349">
      <formula>$E255=18</formula>
    </cfRule>
    <cfRule type="expression" dxfId="383" priority="350">
      <formula>$E255=17</formula>
    </cfRule>
    <cfRule type="expression" dxfId="382" priority="351">
      <formula>$E255=16</formula>
    </cfRule>
    <cfRule type="expression" dxfId="381" priority="352">
      <formula>$E255=15</formula>
    </cfRule>
    <cfRule type="expression" dxfId="380" priority="353">
      <formula>$E255=14</formula>
    </cfRule>
    <cfRule type="expression" dxfId="379" priority="354">
      <formula>$E255=13</formula>
    </cfRule>
    <cfRule type="expression" dxfId="378" priority="355">
      <formula>$E255=12</formula>
    </cfRule>
  </conditionalFormatting>
  <conditionalFormatting sqref="A265:M268">
    <cfRule type="expression" dxfId="377" priority="338">
      <formula>$E265=10</formula>
    </cfRule>
    <cfRule type="expression" dxfId="376" priority="339">
      <formula>$E265=11</formula>
    </cfRule>
    <cfRule type="expression" dxfId="375" priority="340">
      <formula>$E265=18</formula>
    </cfRule>
    <cfRule type="expression" dxfId="374" priority="341">
      <formula>$E265=17</formula>
    </cfRule>
    <cfRule type="expression" dxfId="373" priority="342">
      <formula>$E265=16</formula>
    </cfRule>
    <cfRule type="expression" dxfId="372" priority="343">
      <formula>$E265=15</formula>
    </cfRule>
    <cfRule type="expression" dxfId="371" priority="344">
      <formula>$E265=14</formula>
    </cfRule>
    <cfRule type="expression" dxfId="370" priority="345">
      <formula>$E265=13</formula>
    </cfRule>
    <cfRule type="expression" dxfId="369" priority="346">
      <formula>$E265=12</formula>
    </cfRule>
  </conditionalFormatting>
  <conditionalFormatting sqref="A262:M262 A261:F261 J261:M261 H263 K263:M263 A263:F263">
    <cfRule type="expression" dxfId="368" priority="329">
      <formula>$E261=10</formula>
    </cfRule>
    <cfRule type="expression" dxfId="367" priority="330">
      <formula>$E261=11</formula>
    </cfRule>
    <cfRule type="expression" dxfId="366" priority="331">
      <formula>$E261=18</formula>
    </cfRule>
    <cfRule type="expression" dxfId="365" priority="332">
      <formula>$E261=17</formula>
    </cfRule>
    <cfRule type="expression" dxfId="364" priority="333">
      <formula>$E261=16</formula>
    </cfRule>
    <cfRule type="expression" dxfId="363" priority="334">
      <formula>$E261=15</formula>
    </cfRule>
    <cfRule type="expression" dxfId="362" priority="335">
      <formula>$E261=14</formula>
    </cfRule>
    <cfRule type="expression" dxfId="361" priority="336">
      <formula>$E261=13</formula>
    </cfRule>
    <cfRule type="expression" dxfId="360" priority="337">
      <formula>$E261=12</formula>
    </cfRule>
  </conditionalFormatting>
  <conditionalFormatting sqref="A258:M260">
    <cfRule type="expression" dxfId="359" priority="311">
      <formula>$E258=10</formula>
    </cfRule>
    <cfRule type="expression" dxfId="358" priority="312">
      <formula>$E258=11</formula>
    </cfRule>
    <cfRule type="expression" dxfId="357" priority="313">
      <formula>$E258=18</formula>
    </cfRule>
    <cfRule type="expression" dxfId="356" priority="314">
      <formula>$E258=17</formula>
    </cfRule>
    <cfRule type="expression" dxfId="355" priority="315">
      <formula>$E258=16</formula>
    </cfRule>
    <cfRule type="expression" dxfId="354" priority="316">
      <formula>$E258=15</formula>
    </cfRule>
    <cfRule type="expression" dxfId="353" priority="317">
      <formula>$E258=14</formula>
    </cfRule>
    <cfRule type="expression" dxfId="352" priority="318">
      <formula>$E258=13</formula>
    </cfRule>
    <cfRule type="expression" dxfId="351" priority="319">
      <formula>$E258=12</formula>
    </cfRule>
  </conditionalFormatting>
  <conditionalFormatting sqref="A264:B264 J264 L264 H264">
    <cfRule type="expression" dxfId="350" priority="302">
      <formula>$E264=10</formula>
    </cfRule>
    <cfRule type="expression" dxfId="349" priority="303">
      <formula>$E264=11</formula>
    </cfRule>
    <cfRule type="expression" dxfId="348" priority="304">
      <formula>$E264=18</formula>
    </cfRule>
    <cfRule type="expression" dxfId="347" priority="305">
      <formula>$E264=17</formula>
    </cfRule>
    <cfRule type="expression" dxfId="346" priority="306">
      <formula>$E264=16</formula>
    </cfRule>
    <cfRule type="expression" dxfId="345" priority="307">
      <formula>$E264=15</formula>
    </cfRule>
    <cfRule type="expression" dxfId="344" priority="308">
      <formula>$E264=14</formula>
    </cfRule>
    <cfRule type="expression" dxfId="343" priority="309">
      <formula>$E264=13</formula>
    </cfRule>
    <cfRule type="expression" dxfId="342" priority="310">
      <formula>$E264=12</formula>
    </cfRule>
  </conditionalFormatting>
  <conditionalFormatting sqref="N406:AG406 AJ406:XFD406">
    <cfRule type="expression" dxfId="341" priority="258">
      <formula>$E406&lt;12</formula>
    </cfRule>
    <cfRule type="expression" dxfId="340" priority="259">
      <formula>$E406=18</formula>
    </cfRule>
    <cfRule type="expression" dxfId="339" priority="260">
      <formula>$E406=17</formula>
    </cfRule>
    <cfRule type="expression" dxfId="338" priority="261">
      <formula>$E406=16</formula>
    </cfRule>
    <cfRule type="expression" dxfId="337" priority="262">
      <formula>$E406=15</formula>
    </cfRule>
    <cfRule type="expression" dxfId="336" priority="263">
      <formula>$E406=14</formula>
    </cfRule>
    <cfRule type="expression" dxfId="335" priority="264">
      <formula>$E406=13</formula>
    </cfRule>
    <cfRule type="expression" dxfId="334" priority="265">
      <formula>$E406=12</formula>
    </cfRule>
  </conditionalFormatting>
  <conditionalFormatting sqref="N406:AG406 AJ406:XFD406">
    <cfRule type="expression" dxfId="333" priority="249">
      <formula>$E406=10</formula>
    </cfRule>
    <cfRule type="expression" dxfId="332" priority="250">
      <formula>$E406=11</formula>
    </cfRule>
    <cfRule type="expression" dxfId="331" priority="251">
      <formula>$E406=18</formula>
    </cfRule>
    <cfRule type="expression" dxfId="330" priority="252">
      <formula>$E406=17</formula>
    </cfRule>
    <cfRule type="expression" dxfId="329" priority="253">
      <formula>$E406=16</formula>
    </cfRule>
    <cfRule type="expression" dxfId="328" priority="254">
      <formula>$E406=15</formula>
    </cfRule>
    <cfRule type="expression" dxfId="327" priority="255">
      <formula>$E406=14</formula>
    </cfRule>
    <cfRule type="expression" dxfId="326" priority="256">
      <formula>$E406=13</formula>
    </cfRule>
    <cfRule type="expression" dxfId="325" priority="257">
      <formula>$E406=12</formula>
    </cfRule>
  </conditionalFormatting>
  <conditionalFormatting sqref="G406:J406">
    <cfRule type="expression" dxfId="324" priority="241">
      <formula>$E406&lt;12</formula>
    </cfRule>
    <cfRule type="expression" dxfId="323" priority="242">
      <formula>$E406=18</formula>
    </cfRule>
    <cfRule type="expression" dxfId="322" priority="243">
      <formula>$E406=17</formula>
    </cfRule>
    <cfRule type="expression" dxfId="321" priority="244">
      <formula>$E406=16</formula>
    </cfRule>
    <cfRule type="expression" dxfId="320" priority="245">
      <formula>$E406=15</formula>
    </cfRule>
    <cfRule type="expression" dxfId="319" priority="246">
      <formula>$E406=14</formula>
    </cfRule>
    <cfRule type="expression" dxfId="318" priority="247">
      <formula>$E406=13</formula>
    </cfRule>
    <cfRule type="expression" dxfId="317" priority="248">
      <formula>$E406=12</formula>
    </cfRule>
  </conditionalFormatting>
  <conditionalFormatting sqref="G406:J406">
    <cfRule type="expression" dxfId="316" priority="232">
      <formula>$E406=10</formula>
    </cfRule>
    <cfRule type="expression" dxfId="315" priority="233">
      <formula>$E406=11</formula>
    </cfRule>
    <cfRule type="expression" dxfId="314" priority="234">
      <formula>$E406=18</formula>
    </cfRule>
    <cfRule type="expression" dxfId="313" priority="235">
      <formula>$E406=17</formula>
    </cfRule>
    <cfRule type="expression" dxfId="312" priority="236">
      <formula>$E406=16</formula>
    </cfRule>
    <cfRule type="expression" dxfId="311" priority="237">
      <formula>$E406=15</formula>
    </cfRule>
    <cfRule type="expression" dxfId="310" priority="238">
      <formula>$E406=14</formula>
    </cfRule>
    <cfRule type="expression" dxfId="309" priority="239">
      <formula>$E406=13</formula>
    </cfRule>
    <cfRule type="expression" dxfId="308" priority="240">
      <formula>$E406=12</formula>
    </cfRule>
  </conditionalFormatting>
  <conditionalFormatting sqref="AJ404:XFD404 N404:AG404">
    <cfRule type="expression" dxfId="307" priority="224">
      <formula>$E404&lt;12</formula>
    </cfRule>
    <cfRule type="expression" dxfId="306" priority="225">
      <formula>$E404=18</formula>
    </cfRule>
    <cfRule type="expression" dxfId="305" priority="226">
      <formula>$E404=17</formula>
    </cfRule>
    <cfRule type="expression" dxfId="304" priority="227">
      <formula>$E404=16</formula>
    </cfRule>
    <cfRule type="expression" dxfId="303" priority="228">
      <formula>$E404=15</formula>
    </cfRule>
    <cfRule type="expression" dxfId="302" priority="229">
      <formula>$E404=14</formula>
    </cfRule>
    <cfRule type="expression" dxfId="301" priority="230">
      <formula>$E404=13</formula>
    </cfRule>
    <cfRule type="expression" dxfId="300" priority="231">
      <formula>$E404=12</formula>
    </cfRule>
  </conditionalFormatting>
  <conditionalFormatting sqref="AJ404:XFD404 N404:AG404">
    <cfRule type="expression" dxfId="299" priority="215">
      <formula>$E404=10</formula>
    </cfRule>
    <cfRule type="expression" dxfId="298" priority="216">
      <formula>$E404=11</formula>
    </cfRule>
    <cfRule type="expression" dxfId="297" priority="217">
      <formula>$E404=18</formula>
    </cfRule>
    <cfRule type="expression" dxfId="296" priority="218">
      <formula>$E404=17</formula>
    </cfRule>
    <cfRule type="expression" dxfId="295" priority="219">
      <formula>$E404=16</formula>
    </cfRule>
    <cfRule type="expression" dxfId="294" priority="220">
      <formula>$E404=15</formula>
    </cfRule>
    <cfRule type="expression" dxfId="293" priority="221">
      <formula>$E404=14</formula>
    </cfRule>
    <cfRule type="expression" dxfId="292" priority="222">
      <formula>$E404=13</formula>
    </cfRule>
    <cfRule type="expression" dxfId="291" priority="223">
      <formula>$E404=12</formula>
    </cfRule>
  </conditionalFormatting>
  <conditionalFormatting sqref="K404">
    <cfRule type="expression" dxfId="290" priority="189">
      <formula>$E404=10</formula>
    </cfRule>
    <cfRule type="expression" dxfId="289" priority="190">
      <formula>$E404=11</formula>
    </cfRule>
    <cfRule type="expression" dxfId="288" priority="191">
      <formula>$E404=18</formula>
    </cfRule>
    <cfRule type="expression" dxfId="287" priority="192">
      <formula>$E404=17</formula>
    </cfRule>
    <cfRule type="expression" dxfId="286" priority="193">
      <formula>$E404=16</formula>
    </cfRule>
    <cfRule type="expression" dxfId="285" priority="194">
      <formula>$E404=15</formula>
    </cfRule>
    <cfRule type="expression" dxfId="284" priority="195">
      <formula>$E404=14</formula>
    </cfRule>
    <cfRule type="expression" dxfId="283" priority="196">
      <formula>$E404=13</formula>
    </cfRule>
    <cfRule type="expression" dxfId="282" priority="197">
      <formula>$E404=12</formula>
    </cfRule>
  </conditionalFormatting>
  <conditionalFormatting sqref="A404:M404">
    <cfRule type="expression" dxfId="281" priority="207">
      <formula>$E404&lt;12</formula>
    </cfRule>
    <cfRule type="expression" dxfId="280" priority="208">
      <formula>$E404=18</formula>
    </cfRule>
    <cfRule type="expression" dxfId="279" priority="209">
      <formula>$E404=17</formula>
    </cfRule>
    <cfRule type="expression" dxfId="278" priority="210">
      <formula>$E404=16</formula>
    </cfRule>
    <cfRule type="expression" dxfId="277" priority="211">
      <formula>$E404=15</formula>
    </cfRule>
    <cfRule type="expression" dxfId="276" priority="212">
      <formula>$E404=14</formula>
    </cfRule>
    <cfRule type="expression" dxfId="275" priority="213">
      <formula>$E404=13</formula>
    </cfRule>
    <cfRule type="expression" dxfId="274" priority="214">
      <formula>$E404=12</formula>
    </cfRule>
  </conditionalFormatting>
  <conditionalFormatting sqref="A404:M404">
    <cfRule type="expression" dxfId="273" priority="198">
      <formula>$E404=10</formula>
    </cfRule>
    <cfRule type="expression" dxfId="272" priority="199">
      <formula>$E404=11</formula>
    </cfRule>
    <cfRule type="expression" dxfId="271" priority="200">
      <formula>$E404=18</formula>
    </cfRule>
    <cfRule type="expression" dxfId="270" priority="201">
      <formula>$E404=17</formula>
    </cfRule>
    <cfRule type="expression" dxfId="269" priority="202">
      <formula>$E404=16</formula>
    </cfRule>
    <cfRule type="expression" dxfId="268" priority="203">
      <formula>$E404=15</formula>
    </cfRule>
    <cfRule type="expression" dxfId="267" priority="204">
      <formula>$E404=14</formula>
    </cfRule>
    <cfRule type="expression" dxfId="266" priority="205">
      <formula>$E404=13</formula>
    </cfRule>
    <cfRule type="expression" dxfId="265" priority="206">
      <formula>$E404=12</formula>
    </cfRule>
  </conditionalFormatting>
  <conditionalFormatting sqref="AJ405:XFD405 N405:AG405">
    <cfRule type="expression" dxfId="264" priority="181">
      <formula>$E405&lt;12</formula>
    </cfRule>
    <cfRule type="expression" dxfId="263" priority="182">
      <formula>$E405=18</formula>
    </cfRule>
    <cfRule type="expression" dxfId="262" priority="183">
      <formula>$E405=17</formula>
    </cfRule>
    <cfRule type="expression" dxfId="261" priority="184">
      <formula>$E405=16</formula>
    </cfRule>
    <cfRule type="expression" dxfId="260" priority="185">
      <formula>$E405=15</formula>
    </cfRule>
    <cfRule type="expression" dxfId="259" priority="186">
      <formula>$E405=14</formula>
    </cfRule>
    <cfRule type="expression" dxfId="258" priority="187">
      <formula>$E405=13</formula>
    </cfRule>
    <cfRule type="expression" dxfId="257" priority="188">
      <formula>$E405=12</formula>
    </cfRule>
  </conditionalFormatting>
  <conditionalFormatting sqref="AJ405:XFD405 N405:AG405">
    <cfRule type="expression" dxfId="256" priority="172">
      <formula>$E405=10</formula>
    </cfRule>
    <cfRule type="expression" dxfId="255" priority="173">
      <formula>$E405=11</formula>
    </cfRule>
    <cfRule type="expression" dxfId="254" priority="174">
      <formula>$E405=18</formula>
    </cfRule>
    <cfRule type="expression" dxfId="253" priority="175">
      <formula>$E405=17</formula>
    </cfRule>
    <cfRule type="expression" dxfId="252" priority="176">
      <formula>$E405=16</formula>
    </cfRule>
    <cfRule type="expression" dxfId="251" priority="177">
      <formula>$E405=15</formula>
    </cfRule>
    <cfRule type="expression" dxfId="250" priority="178">
      <formula>$E405=14</formula>
    </cfRule>
    <cfRule type="expression" dxfId="249" priority="179">
      <formula>$E405=13</formula>
    </cfRule>
    <cfRule type="expression" dxfId="248" priority="180">
      <formula>$E405=12</formula>
    </cfRule>
  </conditionalFormatting>
  <conditionalFormatting sqref="G405:J405 L405:M405">
    <cfRule type="expression" dxfId="247" priority="164">
      <formula>$E405&lt;12</formula>
    </cfRule>
    <cfRule type="expression" dxfId="246" priority="165">
      <formula>$E405=18</formula>
    </cfRule>
    <cfRule type="expression" dxfId="245" priority="166">
      <formula>$E405=17</formula>
    </cfRule>
    <cfRule type="expression" dxfId="244" priority="167">
      <formula>$E405=16</formula>
    </cfRule>
    <cfRule type="expression" dxfId="243" priority="168">
      <formula>$E405=15</formula>
    </cfRule>
    <cfRule type="expression" dxfId="242" priority="169">
      <formula>$E405=14</formula>
    </cfRule>
    <cfRule type="expression" dxfId="241" priority="170">
      <formula>$E405=13</formula>
    </cfRule>
    <cfRule type="expression" dxfId="240" priority="171">
      <formula>$E405=12</formula>
    </cfRule>
  </conditionalFormatting>
  <conditionalFormatting sqref="G405:J405 L405:M405">
    <cfRule type="expression" dxfId="239" priority="155">
      <formula>$E405=10</formula>
    </cfRule>
    <cfRule type="expression" dxfId="238" priority="156">
      <formula>$E405=11</formula>
    </cfRule>
    <cfRule type="expression" dxfId="237" priority="157">
      <formula>$E405=18</formula>
    </cfRule>
    <cfRule type="expression" dxfId="236" priority="158">
      <formula>$E405=17</formula>
    </cfRule>
    <cfRule type="expression" dxfId="235" priority="159">
      <formula>$E405=16</formula>
    </cfRule>
    <cfRule type="expression" dxfId="234" priority="160">
      <formula>$E405=15</formula>
    </cfRule>
    <cfRule type="expression" dxfId="233" priority="161">
      <formula>$E405=14</formula>
    </cfRule>
    <cfRule type="expression" dxfId="232" priority="162">
      <formula>$E405=13</formula>
    </cfRule>
    <cfRule type="expression" dxfId="231" priority="163">
      <formula>$E405=12</formula>
    </cfRule>
  </conditionalFormatting>
  <conditionalFormatting sqref="A405:F405">
    <cfRule type="expression" dxfId="230" priority="147">
      <formula>$E405&lt;12</formula>
    </cfRule>
    <cfRule type="expression" dxfId="229" priority="148">
      <formula>$E405=18</formula>
    </cfRule>
    <cfRule type="expression" dxfId="228" priority="149">
      <formula>$E405=17</formula>
    </cfRule>
    <cfRule type="expression" dxfId="227" priority="150">
      <formula>$E405=16</formula>
    </cfRule>
    <cfRule type="expression" dxfId="226" priority="151">
      <formula>$E405=15</formula>
    </cfRule>
    <cfRule type="expression" dxfId="225" priority="152">
      <formula>$E405=14</formula>
    </cfRule>
    <cfRule type="expression" dxfId="224" priority="153">
      <formula>$E405=13</formula>
    </cfRule>
    <cfRule type="expression" dxfId="223" priority="154">
      <formula>$E405=12</formula>
    </cfRule>
  </conditionalFormatting>
  <conditionalFormatting sqref="A405:F405">
    <cfRule type="expression" dxfId="222" priority="138">
      <formula>$E405=10</formula>
    </cfRule>
    <cfRule type="expression" dxfId="221" priority="139">
      <formula>$E405=11</formula>
    </cfRule>
    <cfRule type="expression" dxfId="220" priority="140">
      <formula>$E405=18</formula>
    </cfRule>
    <cfRule type="expression" dxfId="219" priority="141">
      <formula>$E405=17</formula>
    </cfRule>
    <cfRule type="expression" dxfId="218" priority="142">
      <formula>$E405=16</formula>
    </cfRule>
    <cfRule type="expression" dxfId="217" priority="143">
      <formula>$E405=15</formula>
    </cfRule>
    <cfRule type="expression" dxfId="216" priority="144">
      <formula>$E405=14</formula>
    </cfRule>
    <cfRule type="expression" dxfId="215" priority="145">
      <formula>$E405=13</formula>
    </cfRule>
    <cfRule type="expression" dxfId="214" priority="146">
      <formula>$E405=12</formula>
    </cfRule>
  </conditionalFormatting>
  <conditionalFormatting sqref="K405">
    <cfRule type="expression" dxfId="213" priority="112">
      <formula>$E405=10</formula>
    </cfRule>
    <cfRule type="expression" dxfId="212" priority="113">
      <formula>$E405=11</formula>
    </cfRule>
    <cfRule type="expression" dxfId="211" priority="114">
      <formula>$E405=18</formula>
    </cfRule>
    <cfRule type="expression" dxfId="210" priority="115">
      <formula>$E405=17</formula>
    </cfRule>
    <cfRule type="expression" dxfId="209" priority="116">
      <formula>$E405=16</formula>
    </cfRule>
    <cfRule type="expression" dxfId="208" priority="117">
      <formula>$E405=15</formula>
    </cfRule>
    <cfRule type="expression" dxfId="207" priority="118">
      <formula>$E405=14</formula>
    </cfRule>
    <cfRule type="expression" dxfId="206" priority="119">
      <formula>$E405=13</formula>
    </cfRule>
    <cfRule type="expression" dxfId="205" priority="120">
      <formula>$E405=12</formula>
    </cfRule>
  </conditionalFormatting>
  <conditionalFormatting sqref="K405">
    <cfRule type="expression" dxfId="204" priority="130">
      <formula>$E405&lt;12</formula>
    </cfRule>
    <cfRule type="expression" dxfId="203" priority="131">
      <formula>$E405=18</formula>
    </cfRule>
    <cfRule type="expression" dxfId="202" priority="132">
      <formula>$E405=17</formula>
    </cfRule>
    <cfRule type="expression" dxfId="201" priority="133">
      <formula>$E405=16</formula>
    </cfRule>
    <cfRule type="expression" dxfId="200" priority="134">
      <formula>$E405=15</formula>
    </cfRule>
    <cfRule type="expression" dxfId="199" priority="135">
      <formula>$E405=14</formula>
    </cfRule>
    <cfRule type="expression" dxfId="198" priority="136">
      <formula>$E405=13</formula>
    </cfRule>
    <cfRule type="expression" dxfId="197" priority="137">
      <formula>$E405=12</formula>
    </cfRule>
  </conditionalFormatting>
  <conditionalFormatting sqref="K405">
    <cfRule type="expression" dxfId="196" priority="121">
      <formula>$E405=10</formula>
    </cfRule>
    <cfRule type="expression" dxfId="195" priority="122">
      <formula>$E405=11</formula>
    </cfRule>
    <cfRule type="expression" dxfId="194" priority="123">
      <formula>$E405=18</formula>
    </cfRule>
    <cfRule type="expression" dxfId="193" priority="124">
      <formula>$E405=17</formula>
    </cfRule>
    <cfRule type="expression" dxfId="192" priority="125">
      <formula>$E405=16</formula>
    </cfRule>
    <cfRule type="expression" dxfId="191" priority="126">
      <formula>$E405=15</formula>
    </cfRule>
    <cfRule type="expression" dxfId="190" priority="127">
      <formula>$E405=14</formula>
    </cfRule>
    <cfRule type="expression" dxfId="189" priority="128">
      <formula>$E405=13</formula>
    </cfRule>
    <cfRule type="expression" dxfId="188" priority="129">
      <formula>$E405=12</formula>
    </cfRule>
  </conditionalFormatting>
  <conditionalFormatting sqref="A406:F406">
    <cfRule type="expression" dxfId="187" priority="104">
      <formula>$E406&lt;12</formula>
    </cfRule>
    <cfRule type="expression" dxfId="186" priority="105">
      <formula>$E406=18</formula>
    </cfRule>
    <cfRule type="expression" dxfId="185" priority="106">
      <formula>$E406=17</formula>
    </cfRule>
    <cfRule type="expression" dxfId="184" priority="107">
      <formula>$E406=16</formula>
    </cfRule>
    <cfRule type="expression" dxfId="183" priority="108">
      <formula>$E406=15</formula>
    </cfRule>
    <cfRule type="expression" dxfId="182" priority="109">
      <formula>$E406=14</formula>
    </cfRule>
    <cfRule type="expression" dxfId="181" priority="110">
      <formula>$E406=13</formula>
    </cfRule>
    <cfRule type="expression" dxfId="180" priority="111">
      <formula>$E406=12</formula>
    </cfRule>
  </conditionalFormatting>
  <conditionalFormatting sqref="A406:F406">
    <cfRule type="expression" dxfId="179" priority="95">
      <formula>$E406=10</formula>
    </cfRule>
    <cfRule type="expression" dxfId="178" priority="96">
      <formula>$E406=11</formula>
    </cfRule>
    <cfRule type="expression" dxfId="177" priority="97">
      <formula>$E406=18</formula>
    </cfRule>
    <cfRule type="expression" dxfId="176" priority="98">
      <formula>$E406=17</formula>
    </cfRule>
    <cfRule type="expression" dxfId="175" priority="99">
      <formula>$E406=16</formula>
    </cfRule>
    <cfRule type="expression" dxfId="174" priority="100">
      <formula>$E406=15</formula>
    </cfRule>
    <cfRule type="expression" dxfId="173" priority="101">
      <formula>$E406=14</formula>
    </cfRule>
    <cfRule type="expression" dxfId="172" priority="102">
      <formula>$E406=13</formula>
    </cfRule>
    <cfRule type="expression" dxfId="171" priority="103">
      <formula>$E406=12</formula>
    </cfRule>
  </conditionalFormatting>
  <conditionalFormatting sqref="L406:M406">
    <cfRule type="expression" dxfId="170" priority="87">
      <formula>$E406&lt;12</formula>
    </cfRule>
    <cfRule type="expression" dxfId="169" priority="88">
      <formula>$E406=18</formula>
    </cfRule>
    <cfRule type="expression" dxfId="168" priority="89">
      <formula>$E406=17</formula>
    </cfRule>
    <cfRule type="expression" dxfId="167" priority="90">
      <formula>$E406=16</formula>
    </cfRule>
    <cfRule type="expression" dxfId="166" priority="91">
      <formula>$E406=15</formula>
    </cfRule>
    <cfRule type="expression" dxfId="165" priority="92">
      <formula>$E406=14</formula>
    </cfRule>
    <cfRule type="expression" dxfId="164" priority="93">
      <formula>$E406=13</formula>
    </cfRule>
    <cfRule type="expression" dxfId="163" priority="94">
      <formula>$E406=12</formula>
    </cfRule>
  </conditionalFormatting>
  <conditionalFormatting sqref="L406:M406">
    <cfRule type="expression" dxfId="162" priority="78">
      <formula>$E406=10</formula>
    </cfRule>
    <cfRule type="expression" dxfId="161" priority="79">
      <formula>$E406=11</formula>
    </cfRule>
    <cfRule type="expression" dxfId="160" priority="80">
      <formula>$E406=18</formula>
    </cfRule>
    <cfRule type="expression" dxfId="159" priority="81">
      <formula>$E406=17</formula>
    </cfRule>
    <cfRule type="expression" dxfId="158" priority="82">
      <formula>$E406=16</formula>
    </cfRule>
    <cfRule type="expression" dxfId="157" priority="83">
      <formula>$E406=15</formula>
    </cfRule>
    <cfRule type="expression" dxfId="156" priority="84">
      <formula>$E406=14</formula>
    </cfRule>
    <cfRule type="expression" dxfId="155" priority="85">
      <formula>$E406=13</formula>
    </cfRule>
    <cfRule type="expression" dxfId="154" priority="86">
      <formula>$E406=12</formula>
    </cfRule>
  </conditionalFormatting>
  <conditionalFormatting sqref="K406">
    <cfRule type="expression" dxfId="153" priority="52">
      <formula>$E406=10</formula>
    </cfRule>
    <cfRule type="expression" dxfId="152" priority="53">
      <formula>$E406=11</formula>
    </cfRule>
    <cfRule type="expression" dxfId="151" priority="54">
      <formula>$E406=18</formula>
    </cfRule>
    <cfRule type="expression" dxfId="150" priority="55">
      <formula>$E406=17</formula>
    </cfRule>
    <cfRule type="expression" dxfId="149" priority="56">
      <formula>$E406=16</formula>
    </cfRule>
    <cfRule type="expression" dxfId="148" priority="57">
      <formula>$E406=15</formula>
    </cfRule>
    <cfRule type="expression" dxfId="147" priority="58">
      <formula>$E406=14</formula>
    </cfRule>
    <cfRule type="expression" dxfId="146" priority="59">
      <formula>$E406=13</formula>
    </cfRule>
    <cfRule type="expression" dxfId="145" priority="60">
      <formula>$E406=12</formula>
    </cfRule>
  </conditionalFormatting>
  <conditionalFormatting sqref="K406">
    <cfRule type="expression" dxfId="144" priority="70">
      <formula>$E406&lt;12</formula>
    </cfRule>
    <cfRule type="expression" dxfId="143" priority="71">
      <formula>$E406=18</formula>
    </cfRule>
    <cfRule type="expression" dxfId="142" priority="72">
      <formula>$E406=17</formula>
    </cfRule>
    <cfRule type="expression" dxfId="141" priority="73">
      <formula>$E406=16</formula>
    </cfRule>
    <cfRule type="expression" dxfId="140" priority="74">
      <formula>$E406=15</formula>
    </cfRule>
    <cfRule type="expression" dxfId="139" priority="75">
      <formula>$E406=14</formula>
    </cfRule>
    <cfRule type="expression" dxfId="138" priority="76">
      <formula>$E406=13</formula>
    </cfRule>
    <cfRule type="expression" dxfId="137" priority="77">
      <formula>$E406=12</formula>
    </cfRule>
  </conditionalFormatting>
  <conditionalFormatting sqref="K406">
    <cfRule type="expression" dxfId="136" priority="61">
      <formula>$E406=10</formula>
    </cfRule>
    <cfRule type="expression" dxfId="135" priority="62">
      <formula>$E406=11</formula>
    </cfRule>
    <cfRule type="expression" dxfId="134" priority="63">
      <formula>$E406=18</formula>
    </cfRule>
    <cfRule type="expression" dxfId="133" priority="64">
      <formula>$E406=17</formula>
    </cfRule>
    <cfRule type="expression" dxfId="132" priority="65">
      <formula>$E406=16</formula>
    </cfRule>
    <cfRule type="expression" dxfId="131" priority="66">
      <formula>$E406=15</formula>
    </cfRule>
    <cfRule type="expression" dxfId="130" priority="67">
      <formula>$E406=14</formula>
    </cfRule>
    <cfRule type="expression" dxfId="129" priority="68">
      <formula>$E406=13</formula>
    </cfRule>
    <cfRule type="expression" dxfId="128" priority="69">
      <formula>$E406=12</formula>
    </cfRule>
  </conditionalFormatting>
  <conditionalFormatting sqref="A408:F412">
    <cfRule type="expression" dxfId="127" priority="44">
      <formula>$E408&lt;12</formula>
    </cfRule>
    <cfRule type="expression" dxfId="126" priority="45">
      <formula>$E408=18</formula>
    </cfRule>
    <cfRule type="expression" dxfId="125" priority="46">
      <formula>$E408=17</formula>
    </cfRule>
    <cfRule type="expression" dxfId="124" priority="47">
      <formula>$E408=16</formula>
    </cfRule>
    <cfRule type="expression" dxfId="123" priority="48">
      <formula>$E408=15</formula>
    </cfRule>
    <cfRule type="expression" dxfId="122" priority="49">
      <formula>$E408=14</formula>
    </cfRule>
    <cfRule type="expression" dxfId="121" priority="50">
      <formula>$E408=13</formula>
    </cfRule>
    <cfRule type="expression" dxfId="120" priority="51">
      <formula>$E408=12</formula>
    </cfRule>
  </conditionalFormatting>
  <conditionalFormatting sqref="A408:F412">
    <cfRule type="expression" dxfId="119" priority="35">
      <formula>$E408=10</formula>
    </cfRule>
    <cfRule type="expression" dxfId="118" priority="36">
      <formula>$E408=11</formula>
    </cfRule>
    <cfRule type="expression" dxfId="117" priority="37">
      <formula>$E408=18</formula>
    </cfRule>
    <cfRule type="expression" dxfId="116" priority="38">
      <formula>$E408=17</formula>
    </cfRule>
    <cfRule type="expression" dxfId="115" priority="39">
      <formula>$E408=16</formula>
    </cfRule>
    <cfRule type="expression" dxfId="114" priority="40">
      <formula>$E408=15</formula>
    </cfRule>
    <cfRule type="expression" dxfId="113" priority="41">
      <formula>$E408=14</formula>
    </cfRule>
    <cfRule type="expression" dxfId="112" priority="42">
      <formula>$E408=13</formula>
    </cfRule>
    <cfRule type="expression" dxfId="111" priority="43">
      <formula>$E408=12</formula>
    </cfRule>
  </conditionalFormatting>
  <conditionalFormatting sqref="A414:F418">
    <cfRule type="expression" dxfId="110" priority="27">
      <formula>$E414&lt;12</formula>
    </cfRule>
    <cfRule type="expression" dxfId="109" priority="28">
      <formula>$E414=18</formula>
    </cfRule>
    <cfRule type="expression" dxfId="108" priority="29">
      <formula>$E414=17</formula>
    </cfRule>
    <cfRule type="expression" dxfId="107" priority="30">
      <formula>$E414=16</formula>
    </cfRule>
    <cfRule type="expression" dxfId="106" priority="31">
      <formula>$E414=15</formula>
    </cfRule>
    <cfRule type="expression" dxfId="105" priority="32">
      <formula>$E414=14</formula>
    </cfRule>
    <cfRule type="expression" dxfId="104" priority="33">
      <formula>$E414=13</formula>
    </cfRule>
    <cfRule type="expression" dxfId="103" priority="34">
      <formula>$E414=12</formula>
    </cfRule>
  </conditionalFormatting>
  <conditionalFormatting sqref="A414:F418">
    <cfRule type="expression" dxfId="102" priority="18">
      <formula>$E414=10</formula>
    </cfRule>
    <cfRule type="expression" dxfId="101" priority="19">
      <formula>$E414=11</formula>
    </cfRule>
    <cfRule type="expression" dxfId="100" priority="20">
      <formula>$E414=18</formula>
    </cfRule>
    <cfRule type="expression" dxfId="99" priority="21">
      <formula>$E414=17</formula>
    </cfRule>
    <cfRule type="expression" dxfId="98" priority="22">
      <formula>$E414=16</formula>
    </cfRule>
    <cfRule type="expression" dxfId="97" priority="23">
      <formula>$E414=15</formula>
    </cfRule>
    <cfRule type="expression" dxfId="96" priority="24">
      <formula>$E414=14</formula>
    </cfRule>
    <cfRule type="expression" dxfId="95" priority="25">
      <formula>$E414=13</formula>
    </cfRule>
    <cfRule type="expression" dxfId="94" priority="26">
      <formula>$E414=12</formula>
    </cfRule>
  </conditionalFormatting>
  <conditionalFormatting sqref="A420:F420">
    <cfRule type="expression" dxfId="93" priority="10">
      <formula>$E420&lt;12</formula>
    </cfRule>
    <cfRule type="expression" dxfId="92" priority="11">
      <formula>$E420=18</formula>
    </cfRule>
    <cfRule type="expression" dxfId="91" priority="12">
      <formula>$E420=17</formula>
    </cfRule>
    <cfRule type="expression" dxfId="90" priority="13">
      <formula>$E420=16</formula>
    </cfRule>
    <cfRule type="expression" dxfId="89" priority="14">
      <formula>$E420=15</formula>
    </cfRule>
    <cfRule type="expression" dxfId="88" priority="15">
      <formula>$E420=14</formula>
    </cfRule>
    <cfRule type="expression" dxfId="87" priority="16">
      <formula>$E420=13</formula>
    </cfRule>
    <cfRule type="expression" dxfId="86" priority="17">
      <formula>$E420=12</formula>
    </cfRule>
  </conditionalFormatting>
  <conditionalFormatting sqref="A420:F420">
    <cfRule type="expression" dxfId="85" priority="1">
      <formula>$E420=10</formula>
    </cfRule>
    <cfRule type="expression" dxfId="84" priority="2">
      <formula>$E420=11</formula>
    </cfRule>
    <cfRule type="expression" dxfId="83" priority="3">
      <formula>$E420=18</formula>
    </cfRule>
    <cfRule type="expression" dxfId="82" priority="4">
      <formula>$E420=17</formula>
    </cfRule>
    <cfRule type="expression" dxfId="81" priority="5">
      <formula>$E420=16</formula>
    </cfRule>
    <cfRule type="expression" dxfId="80" priority="6">
      <formula>$E420=15</formula>
    </cfRule>
    <cfRule type="expression" dxfId="79" priority="7">
      <formula>$E420=14</formula>
    </cfRule>
    <cfRule type="expression" dxfId="78" priority="8">
      <formula>$E420=13</formula>
    </cfRule>
    <cfRule type="expression" dxfId="77" priority="9">
      <formula>$E420=12</formula>
    </cfRule>
  </conditionalFormatting>
  <hyperlinks>
    <hyperlink ref="I267" r:id="rId1" display="https://aes1.advancedeventsystems.com/Event/Volleyball/EventTeamInfo.aspx?ZCruShzPjMGv6cuivzEZ3bdHnxan7utPe-38b2URl8mzU62jttSjG3kENzzLrFO5DJ2gC4tYCpITNOPe7kWQLp22OSbVlCGBuLUYcUJcvMs1mfXaIumiL4opmJlO0to2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7tm AM r2</vt:lpstr>
      <vt:lpstr>7tm AM r1</vt:lpstr>
      <vt:lpstr>7tm PM r2</vt:lpstr>
      <vt:lpstr>7tm PM r1</vt:lpstr>
      <vt:lpstr>RatingResultsSummary</vt:lpstr>
      <vt:lpstr>Initial</vt:lpstr>
      <vt:lpstr>Final</vt:lpstr>
      <vt:lpstr>Final-PM</vt:lpstr>
      <vt:lpstr>'7tm AM r1'!Print_Area</vt:lpstr>
      <vt:lpstr>'7tm AM r2'!Print_Area</vt:lpstr>
      <vt:lpstr>'7tm PM r1'!Print_Area</vt:lpstr>
      <vt:lpstr>'7tm PM r2'!Print_Area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</dc:creator>
  <cp:lastModifiedBy>email</cp:lastModifiedBy>
  <dcterms:created xsi:type="dcterms:W3CDTF">2016-02-21T01:15:06Z</dcterms:created>
  <dcterms:modified xsi:type="dcterms:W3CDTF">2018-02-09T00:46:25Z</dcterms:modified>
</cp:coreProperties>
</file>