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autoCompressPictures="0"/>
  <mc:AlternateContent xmlns:mc="http://schemas.openxmlformats.org/markup-compatibility/2006">
    <mc:Choice Requires="x15">
      <x15ac:absPath xmlns:x15ac="http://schemas.microsoft.com/office/spreadsheetml/2010/11/ac" url="H:\My Drive\2023 Junior Files\Tournament Pools and Results\23-01\"/>
    </mc:Choice>
  </mc:AlternateContent>
  <xr:revisionPtr revIDLastSave="0" documentId="8_{E0B78CB3-2BBA-4783-82D3-42D3E1548BDE}" xr6:coauthVersionLast="47" xr6:coauthVersionMax="47" xr10:uidLastSave="{00000000-0000-0000-0000-000000000000}"/>
  <bookViews>
    <workbookView xWindow="-108" yWindow="-108" windowWidth="30936" windowHeight="17496" activeTab="2" xr2:uid="{00000000-000D-0000-FFFF-FFFF00000000}"/>
  </bookViews>
  <sheets>
    <sheet name="Teams" sheetId="6" r:id="rId1"/>
    <sheet name="CheckIn" sheetId="1" r:id="rId2"/>
    <sheet name="Format" sheetId="2" r:id="rId3"/>
    <sheet name="Pool A" sheetId="3" r:id="rId4"/>
    <sheet name="Playoff" sheetId="9" state="hidden" r:id="rId5"/>
    <sheet name="AES" sheetId="7" r:id="rId6"/>
    <sheet name="MO" sheetId="8" r:id="rId7"/>
  </sheets>
  <definedNames>
    <definedName name="Division" localSheetId="4">Teams!$E$4</definedName>
    <definedName name="Division">Teams!$F$4</definedName>
    <definedName name="Event" localSheetId="4">Teams!$E$3</definedName>
    <definedName name="Event">Teams!$F$3</definedName>
    <definedName name="FinishA">'Pool A'!$T$9:$V$13</definedName>
    <definedName name="FirstCt" localSheetId="4">Teams!$E$7</definedName>
    <definedName name="FirstCt">Teams!$F$7</definedName>
    <definedName name="FirstPool" localSheetId="4">Teams!$E$8</definedName>
    <definedName name="FirstPool">Teams!$F$8</definedName>
    <definedName name="LastA">'Pool A'!$U$20</definedName>
    <definedName name="_xlnm.Print_Area" localSheetId="1">CheckIn!$B$1:$H$18</definedName>
    <definedName name="_xlnm.Print_Area" localSheetId="2">Format!$A$1:$L$49</definedName>
    <definedName name="_xlnm.Print_Area" localSheetId="4">Playoff!$A$1:$K$25</definedName>
    <definedName name="_xlnm.Print_Area" localSheetId="3">'Pool A'!$A$1:$M$20</definedName>
    <definedName name="Seed" localSheetId="4">Teams!$A$2:$B$6</definedName>
    <definedName name="Seed">Teams!$A$2:$B$9</definedName>
    <definedName name="ShortName" localSheetId="4">Teams!$E$2</definedName>
    <definedName name="ShortName">Teams!$F$2</definedName>
    <definedName name="StartTime">Teams!$F$6</definedName>
    <definedName name="tDate" localSheetId="4">Teams!$E$5</definedName>
    <definedName name="tDate">Teams!$F$5</definedName>
    <definedName name="Teams" localSheetId="4">Teams!$B$2:$C$6</definedName>
    <definedName name="Teams">Teams!$B$2:$C$9</definedName>
    <definedName name="Venue" localSheetId="4">Teams!$E$1</definedName>
    <definedName name="Venue">Teams!$F$1</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7" i="7" l="1"/>
  <c r="I7" i="7"/>
  <c r="H7" i="7"/>
  <c r="J6" i="7"/>
  <c r="I6" i="7"/>
  <c r="H6" i="7"/>
  <c r="J5" i="7"/>
  <c r="I5" i="7"/>
  <c r="H5" i="7"/>
  <c r="J4" i="7"/>
  <c r="I4" i="7"/>
  <c r="H4" i="7"/>
  <c r="J3" i="7"/>
  <c r="I3" i="7"/>
  <c r="H3" i="7"/>
  <c r="J2" i="7"/>
  <c r="I2" i="7"/>
  <c r="H2" i="7"/>
  <c r="E7" i="7"/>
  <c r="E6" i="7"/>
  <c r="E5" i="7"/>
  <c r="E4" i="7"/>
  <c r="E3" i="7"/>
  <c r="E2" i="7"/>
  <c r="A37" i="9" l="1"/>
  <c r="A36" i="9"/>
  <c r="E17" i="9"/>
  <c r="B21" i="9"/>
  <c r="A32" i="9" s="1"/>
  <c r="B16" i="9"/>
  <c r="B12" i="9"/>
  <c r="H19" i="9"/>
  <c r="E23" i="9"/>
  <c r="E15" i="9"/>
  <c r="B13" i="9" l="1"/>
  <c r="A29" i="9" s="1"/>
  <c r="A4" i="2" l="1"/>
  <c r="A3" i="2"/>
  <c r="A47" i="2" l="1"/>
  <c r="A48" i="2" s="1"/>
  <c r="A49" i="2" s="1"/>
  <c r="A33" i="2" l="1"/>
  <c r="A34" i="2" s="1"/>
  <c r="A40" i="2" s="1"/>
  <c r="A25" i="2"/>
  <c r="A26" i="2" s="1"/>
  <c r="A27" i="2" s="1"/>
  <c r="A28" i="2" s="1"/>
  <c r="A29" i="2" s="1"/>
  <c r="L21" i="3" l="1"/>
  <c r="M21" i="3" s="1"/>
  <c r="L22" i="3"/>
  <c r="M22" i="3" s="1"/>
  <c r="L23" i="3"/>
  <c r="M23" i="3"/>
  <c r="L26" i="3"/>
  <c r="M26" i="3"/>
  <c r="A35" i="9"/>
  <c r="B24" i="9"/>
  <c r="B20" i="9"/>
  <c r="H5" i="9"/>
  <c r="H3" i="9"/>
  <c r="D5" i="9"/>
  <c r="D3" i="9"/>
  <c r="B21" i="3"/>
  <c r="C21" i="3" s="1"/>
  <c r="B22" i="3"/>
  <c r="C22" i="3" s="1"/>
  <c r="B23" i="3"/>
  <c r="C23" i="3"/>
  <c r="F21" i="3"/>
  <c r="F22" i="3"/>
  <c r="G22" i="3" s="1"/>
  <c r="F23" i="3"/>
  <c r="G23" i="3"/>
  <c r="B26" i="3"/>
  <c r="C26" i="3"/>
  <c r="F26" i="3"/>
  <c r="G26" i="3"/>
  <c r="D21" i="3"/>
  <c r="E21" i="3" s="1"/>
  <c r="D22" i="3"/>
  <c r="E22" i="3" s="1"/>
  <c r="D23" i="3"/>
  <c r="E23" i="3" s="1"/>
  <c r="H21" i="3"/>
  <c r="I21" i="3" s="1"/>
  <c r="H22" i="3"/>
  <c r="I22" i="3" s="1"/>
  <c r="H23" i="3"/>
  <c r="I23" i="3"/>
  <c r="D26" i="3"/>
  <c r="E26" i="3"/>
  <c r="H26" i="3"/>
  <c r="I26" i="3"/>
  <c r="J21" i="3"/>
  <c r="K21" i="3" s="1"/>
  <c r="J22" i="3"/>
  <c r="K22" i="3" s="1"/>
  <c r="J23" i="3"/>
  <c r="K23" i="3" s="1"/>
  <c r="J26" i="3"/>
  <c r="K26" i="3"/>
  <c r="B1" i="9"/>
  <c r="C12" i="2"/>
  <c r="B12" i="3" s="1"/>
  <c r="C11" i="2"/>
  <c r="B11" i="3" s="1"/>
  <c r="C10" i="2"/>
  <c r="B10" i="3" s="1"/>
  <c r="C9" i="2"/>
  <c r="B9" i="3" s="1"/>
  <c r="M3" i="3"/>
  <c r="A7" i="3"/>
  <c r="B2" i="1"/>
  <c r="N2" i="8"/>
  <c r="M2" i="8"/>
  <c r="L2" i="8"/>
  <c r="K2" i="8"/>
  <c r="A7" i="8"/>
  <c r="A6" i="8"/>
  <c r="A5" i="8"/>
  <c r="A4" i="8"/>
  <c r="A3" i="8"/>
  <c r="A2" i="8"/>
  <c r="J3" i="3"/>
  <c r="G3" i="3"/>
  <c r="D3" i="3"/>
  <c r="A7" i="2"/>
  <c r="C8" i="2"/>
  <c r="B8" i="2"/>
  <c r="A8" i="2"/>
  <c r="A5" i="2"/>
  <c r="B3" i="1" s="1"/>
  <c r="B1" i="1"/>
  <c r="J12" i="1"/>
  <c r="J9" i="1"/>
  <c r="J10" i="1"/>
  <c r="J11" i="1"/>
  <c r="I11" i="1" s="1"/>
  <c r="E7" i="8" l="1"/>
  <c r="E4" i="8"/>
  <c r="E2" i="8"/>
  <c r="G6" i="8"/>
  <c r="G4" i="8"/>
  <c r="G3" i="8"/>
  <c r="G7" i="8"/>
  <c r="E5" i="8"/>
  <c r="E3" i="8"/>
  <c r="G5" i="8"/>
  <c r="G2" i="8"/>
  <c r="E6" i="8"/>
  <c r="E10" i="3"/>
  <c r="F3" i="8" s="1"/>
  <c r="C7" i="7"/>
  <c r="A5" i="7"/>
  <c r="A3" i="7"/>
  <c r="N12" i="3"/>
  <c r="C3" i="7"/>
  <c r="C4" i="7"/>
  <c r="C6" i="7"/>
  <c r="A2" i="7"/>
  <c r="A7" i="7"/>
  <c r="A4" i="7"/>
  <c r="A6" i="7"/>
  <c r="C5" i="7"/>
  <c r="C2" i="7"/>
  <c r="F24" i="3"/>
  <c r="E24" i="3"/>
  <c r="M24" i="3"/>
  <c r="L24" i="3"/>
  <c r="I24" i="3"/>
  <c r="G21" i="3"/>
  <c r="G24" i="3" s="1"/>
  <c r="J4" i="8" s="1"/>
  <c r="B24" i="3"/>
  <c r="I10" i="1"/>
  <c r="E11" i="3"/>
  <c r="N11" i="3"/>
  <c r="K24" i="3"/>
  <c r="H24" i="3"/>
  <c r="E12" i="3"/>
  <c r="J24" i="3"/>
  <c r="D24" i="3"/>
  <c r="C24" i="3"/>
  <c r="N10" i="3"/>
  <c r="N9" i="3"/>
  <c r="E9" i="3"/>
  <c r="I12" i="1"/>
  <c r="I9" i="1"/>
  <c r="L25" i="3" l="1"/>
  <c r="B2" i="7"/>
  <c r="B7" i="7"/>
  <c r="B4" i="7"/>
  <c r="H7" i="8"/>
  <c r="D4" i="7"/>
  <c r="D6" i="7"/>
  <c r="D3" i="7"/>
  <c r="F5" i="8"/>
  <c r="B6" i="7"/>
  <c r="D5" i="7"/>
  <c r="D2" i="7"/>
  <c r="B3" i="7"/>
  <c r="B5" i="7"/>
  <c r="D7" i="7"/>
  <c r="L27" i="3"/>
  <c r="M25" i="3"/>
  <c r="M27" i="3" s="1"/>
  <c r="J3" i="8"/>
  <c r="I12" i="3"/>
  <c r="L12" i="3" s="1"/>
  <c r="J10" i="3"/>
  <c r="J25" i="3"/>
  <c r="G25" i="3"/>
  <c r="G27" i="3" s="1"/>
  <c r="J7" i="8"/>
  <c r="I7" i="8" s="1"/>
  <c r="I25" i="3"/>
  <c r="I27" i="3" s="1"/>
  <c r="J5" i="8"/>
  <c r="H25" i="3"/>
  <c r="F25" i="3"/>
  <c r="D25" i="3"/>
  <c r="E25" i="3"/>
  <c r="I10" i="3"/>
  <c r="J12" i="3"/>
  <c r="K12" i="3" s="1"/>
  <c r="B25" i="3"/>
  <c r="G2" i="7" s="1"/>
  <c r="J2" i="8"/>
  <c r="I2" i="8" s="1"/>
  <c r="C25" i="3"/>
  <c r="J9" i="3"/>
  <c r="I11" i="3"/>
  <c r="J11" i="3"/>
  <c r="I9" i="3"/>
  <c r="H2" i="8"/>
  <c r="H5" i="8"/>
  <c r="F6" i="8"/>
  <c r="H6" i="8"/>
  <c r="J6" i="8"/>
  <c r="H4" i="8"/>
  <c r="K25" i="3"/>
  <c r="K27" i="3" s="1"/>
  <c r="H3" i="8"/>
  <c r="F4" i="8"/>
  <c r="F7" i="8"/>
  <c r="F2" i="8"/>
  <c r="B12" i="1"/>
  <c r="B11" i="1"/>
  <c r="B10" i="1"/>
  <c r="B9" i="1"/>
  <c r="G3" i="7" l="1"/>
  <c r="L28" i="3"/>
  <c r="M28" i="3" s="1"/>
  <c r="F27" i="3"/>
  <c r="F28" i="3" s="1"/>
  <c r="G28" i="3" s="1"/>
  <c r="G4" i="7"/>
  <c r="H27" i="3"/>
  <c r="H28" i="3" s="1"/>
  <c r="I28" i="3" s="1"/>
  <c r="G5" i="7"/>
  <c r="J27" i="3"/>
  <c r="J28" i="3" s="1"/>
  <c r="K28" i="3" s="1"/>
  <c r="G6" i="7"/>
  <c r="G7" i="7"/>
  <c r="I6" i="8"/>
  <c r="I3" i="8"/>
  <c r="I5" i="8"/>
  <c r="I4" i="8"/>
  <c r="E27" i="3"/>
  <c r="H10" i="3"/>
  <c r="G12" i="3"/>
  <c r="L10" i="3"/>
  <c r="K10" i="3"/>
  <c r="D27" i="3"/>
  <c r="G10" i="3"/>
  <c r="H12" i="3"/>
  <c r="G9" i="3"/>
  <c r="H11" i="3"/>
  <c r="B27" i="3"/>
  <c r="K9" i="3"/>
  <c r="L9" i="3"/>
  <c r="K11" i="3"/>
  <c r="L11" i="3"/>
  <c r="C27" i="3"/>
  <c r="H9" i="3"/>
  <c r="G11" i="3"/>
  <c r="O10" i="3" l="1"/>
  <c r="Q10" i="3" s="1"/>
  <c r="D28" i="3"/>
  <c r="E28" i="3" s="1"/>
  <c r="B28" i="3"/>
  <c r="C28" i="3" s="1"/>
  <c r="O12" i="3"/>
  <c r="O11" i="3"/>
  <c r="Q11" i="3" s="1"/>
  <c r="O9" i="3"/>
  <c r="Q9" i="3" s="1"/>
  <c r="P10" i="3" l="1"/>
  <c r="P11" i="3"/>
  <c r="P9" i="3"/>
  <c r="P12" i="3"/>
  <c r="Q12" i="3"/>
  <c r="R12" i="3" s="1"/>
  <c r="M12" i="3" l="1"/>
  <c r="R9" i="3"/>
  <c r="M9" i="3" s="1"/>
  <c r="C7" i="8" s="1"/>
  <c r="R10" i="3"/>
  <c r="M10" i="3" s="1"/>
  <c r="D7" i="8" s="1"/>
  <c r="R11" i="3"/>
  <c r="M11" i="3" s="1"/>
  <c r="C6" i="8" l="1"/>
  <c r="D6" i="8"/>
  <c r="B11" i="9"/>
  <c r="B15" i="9"/>
  <c r="A31" i="9" s="1"/>
  <c r="B19" i="9"/>
  <c r="B23" i="9"/>
  <c r="A34" i="9" s="1"/>
  <c r="E18" i="9" l="1"/>
  <c r="B22" i="9"/>
  <c r="A30" i="9"/>
  <c r="B14" i="9"/>
  <c r="A33" i="9"/>
</calcChain>
</file>

<file path=xl/sharedStrings.xml><?xml version="1.0" encoding="utf-8"?>
<sst xmlns="http://schemas.openxmlformats.org/spreadsheetml/2006/main" count="169" uniqueCount="141">
  <si>
    <t>GARDEN EMPIRE VOLLEYBALL ASSOCIATION</t>
  </si>
  <si>
    <t>Check-in for Accepted Teams</t>
  </si>
  <si>
    <t>TEAM NAME</t>
  </si>
  <si>
    <t>TEAM REP</t>
  </si>
  <si>
    <t>CELL PHONE</t>
  </si>
  <si>
    <t>SIGNATURE</t>
  </si>
  <si>
    <t>4 TEAM POOL PLAY SCHEDULE</t>
  </si>
  <si>
    <t>Match</t>
  </si>
  <si>
    <t>Playing Teams</t>
  </si>
  <si>
    <t>Work</t>
  </si>
  <si>
    <t>1 vs 3</t>
  </si>
  <si>
    <t>2 vs 4</t>
  </si>
  <si>
    <t>1 vs 4</t>
  </si>
  <si>
    <t>2 vs 3</t>
  </si>
  <si>
    <t>3 vs 4</t>
  </si>
  <si>
    <t>1 vs 2</t>
  </si>
  <si>
    <t>Playing Format:</t>
  </si>
  <si>
    <t>Tie breaking procedure (note, no sets will be played for any ties):</t>
  </si>
  <si>
    <t>-</t>
  </si>
  <si>
    <t>If 2 teams are tied, head to head results will decide the higher placing team.</t>
  </si>
  <si>
    <t>If 3 (or more) teams are tied (in order):</t>
  </si>
  <si>
    <t>+</t>
  </si>
  <si>
    <t>Set percentage in the entire pool</t>
  </si>
  <si>
    <t>Point won/loss percentage (won/(won+lost)) in the entire pool</t>
  </si>
  <si>
    <t>Date:</t>
  </si>
  <si>
    <t>Division:</t>
  </si>
  <si>
    <t>Location:</t>
  </si>
  <si>
    <t>Court:</t>
  </si>
  <si>
    <t>Team Name</t>
  </si>
  <si>
    <t>USAV
Registration #</t>
  </si>
  <si>
    <t>Matches
Won</t>
  </si>
  <si>
    <t>Matches
Lost</t>
  </si>
  <si>
    <t>Sets
Won</t>
  </si>
  <si>
    <t>Sets
Lost</t>
  </si>
  <si>
    <t>Set %</t>
  </si>
  <si>
    <t>Point %</t>
  </si>
  <si>
    <t>Finish</t>
  </si>
  <si>
    <t>Record Set Results, Below</t>
  </si>
  <si>
    <t>Match 1</t>
  </si>
  <si>
    <t>Match 2</t>
  </si>
  <si>
    <t>Match 3</t>
  </si>
  <si>
    <t>Match 4</t>
  </si>
  <si>
    <t>Match 5</t>
  </si>
  <si>
    <t>Match 6</t>
  </si>
  <si>
    <t>(2 refs)</t>
  </si>
  <si>
    <t>(1 refs)</t>
  </si>
  <si>
    <t>(3 refs)</t>
  </si>
  <si>
    <t>(4 refs)</t>
  </si>
  <si>
    <t>Set 1</t>
  </si>
  <si>
    <t>Set 2</t>
  </si>
  <si>
    <t>Set 3</t>
  </si>
  <si>
    <t>set 1 won</t>
  </si>
  <si>
    <t>set 2 won</t>
  </si>
  <si>
    <t>set 3 won</t>
  </si>
  <si>
    <t>sets won</t>
  </si>
  <si>
    <t>match won</t>
  </si>
  <si>
    <t>pts scored</t>
  </si>
  <si>
    <t>Matches?</t>
  </si>
  <si>
    <t>Warmups will be 2-4-4 for each team's first match, and then 3-3 for the rest of the day.</t>
  </si>
  <si>
    <t>A</t>
  </si>
  <si>
    <t>Seed</t>
  </si>
  <si>
    <t>USAV #</t>
  </si>
  <si>
    <t>Match %</t>
  </si>
  <si>
    <t>Rank</t>
  </si>
  <si>
    <t>Don’t change anything on this page. It is generated automatically.</t>
  </si>
  <si>
    <t>Count</t>
  </si>
  <si>
    <t>Not inc/
Head-Head</t>
  </si>
  <si>
    <t>Tie Breaker</t>
  </si>
  <si>
    <t>Team</t>
  </si>
  <si>
    <t>calc win</t>
  </si>
  <si>
    <t>team value</t>
  </si>
  <si>
    <t>Enter scores for each set as:</t>
  </si>
  <si>
    <t>TRUE if Match play</t>
  </si>
  <si>
    <t>FALSE otherwise</t>
  </si>
  <si>
    <t>Finish will display after the last match is entered.</t>
  </si>
  <si>
    <t>To enter the winner, click in the cell, then click on the drop down box to select the winning team.</t>
  </si>
  <si>
    <t>In the "Results here" area, type the scores like this: 25-10,22-25,15-12 or 21-19,21-15</t>
  </si>
  <si>
    <t>Please use this exact format for ease of import into Advanced Event Systems.</t>
  </si>
  <si>
    <t>The score for the winner of the match always comes first.</t>
  </si>
  <si>
    <t>Venue</t>
  </si>
  <si>
    <t>ShortName</t>
  </si>
  <si>
    <t>Event</t>
  </si>
  <si>
    <t>Division</t>
  </si>
  <si>
    <t>tDate</t>
  </si>
  <si>
    <t>StartTime</t>
  </si>
  <si>
    <t>FirstCt</t>
  </si>
  <si>
    <t>FirstPool</t>
  </si>
  <si>
    <t>Round</t>
  </si>
  <si>
    <t>Result</t>
  </si>
  <si>
    <t>Score</t>
  </si>
  <si>
    <t>Date</t>
  </si>
  <si>
    <t>Div</t>
  </si>
  <si>
    <t>9:00a</t>
  </si>
  <si>
    <t>Playoff Format:</t>
  </si>
  <si>
    <t>T1Finish</t>
  </si>
  <si>
    <t>T2Finish</t>
  </si>
  <si>
    <t>Check In / Coaches Meeting:</t>
  </si>
  <si>
    <r>
      <t xml:space="preserve">Coaches </t>
    </r>
    <r>
      <rPr>
        <b/>
        <sz val="10"/>
        <rFont val="Cambria"/>
        <family val="1"/>
        <scheme val="major"/>
      </rPr>
      <t>must present a Photo ID</t>
    </r>
    <r>
      <rPr>
        <sz val="10"/>
        <rFont val="Cambria"/>
        <family val="1"/>
        <scheme val="major"/>
      </rPr>
      <t xml:space="preserve"> (drivers license, passport card etc) at check in.</t>
    </r>
  </si>
  <si>
    <r>
      <rPr>
        <b/>
        <sz val="10"/>
        <rFont val="Cambria"/>
        <family val="1"/>
        <scheme val="major"/>
      </rPr>
      <t>Only Rostered Adults</t>
    </r>
    <r>
      <rPr>
        <sz val="10"/>
        <rFont val="Cambria"/>
        <family val="1"/>
        <scheme val="major"/>
      </rPr>
      <t xml:space="preserve"> are permitted at the court benches</t>
    </r>
  </si>
  <si>
    <r>
      <t xml:space="preserve">Missing Players </t>
    </r>
    <r>
      <rPr>
        <b/>
        <sz val="10"/>
        <rFont val="Cambria"/>
        <family val="1"/>
        <scheme val="major"/>
      </rPr>
      <t>must be crossed off</t>
    </r>
    <r>
      <rPr>
        <sz val="10"/>
        <rFont val="Cambria"/>
        <family val="1"/>
        <scheme val="major"/>
      </rPr>
      <t xml:space="preserve"> the Roster</t>
    </r>
  </si>
  <si>
    <r>
      <t xml:space="preserve">Coaches Meeting at 8:30 - </t>
    </r>
    <r>
      <rPr>
        <b/>
        <sz val="10"/>
        <rFont val="Cambria"/>
        <family val="1"/>
        <scheme val="major"/>
      </rPr>
      <t>All teams</t>
    </r>
    <r>
      <rPr>
        <sz val="10"/>
        <rFont val="Cambria"/>
        <family val="1"/>
        <scheme val="major"/>
      </rPr>
      <t xml:space="preserve"> must have a Rostered Coach/Team Rep Attend</t>
    </r>
  </si>
  <si>
    <t>Each team must provide a Junior Officiating team (R2, SK, Libero Tracker, Flip, 2 Line Judges)</t>
  </si>
  <si>
    <t>Matches (no cap) are best 2 of 3 sets (25 points, starting at 0-0) and 15 point deciding set (switch at 8), if needed.</t>
  </si>
  <si>
    <t>Original Seed in the Pool</t>
  </si>
  <si>
    <t>All teams will play 1 crossover match after pool play</t>
  </si>
  <si>
    <t>Notes:</t>
  </si>
  <si>
    <t>12s and Under will play with a 12u (Volley Lite Ball) on a 7' high net.</t>
  </si>
  <si>
    <t>Players arriving after the Roster has been verified - must sign in with the Site Director</t>
  </si>
  <si>
    <r>
      <t xml:space="preserve">For all GEVA Junior Volleyball Authorized events, any person who alters any document that certifies the age or identity of a participant, or falsifies any statement which lists the age or identity of a participant, will be disciplined as follows:  This includes Directors, Coaches, Administrators or any affiliated member.
     A. Be immediately suspended from USA Volleyball membership and barred from further participation in the event;
     B. Be barred from participation in any GEVA Authorized and USAV Corporate events in any capacity for a minimum of two (2) years
     C. Have a minimum probation of one additional year to run consecutively with the suspension. 
     D. Must immediately vacate the venue.
A junior player who plays in a lower age classification than which he or she is actually eligible, or any Junior Player who knowingly misrepresents his/her identity shall:
     A. Be immediately suspended from USA Volleyball membership and barred from further participation in the event;
     B. Be barred from participation in any GEVA Authorized and USAV Corporate events in any capacity for a minimum of two (2) years
     C. Have a minimum probation of one additional year to run consecutively with the suspension. 
     D. Must immediately vacate the venue.
Any player must provide proof of identity and age eligibility, if requested by Authorized Tournament Staff.  
When discovered and confirmed during an event, these penalties shall be the required minimum penalty imposed by the Junior Director or in their absence the Commissioner.
The Junior Director may recommend a more severe penalty.  The Commissioner will forward a report of the incident findings and any disciplinary action to USA Volleyball.
</t>
    </r>
    <r>
      <rPr>
        <b/>
        <sz val="10"/>
        <rFont val="Cambria"/>
        <family val="1"/>
        <scheme val="major"/>
      </rPr>
      <t xml:space="preserve">I hereby acknowledge understanding and compliance  </t>
    </r>
    <r>
      <rPr>
        <sz val="10"/>
        <rFont val="Cambria"/>
        <family val="1"/>
        <scheme val="major"/>
      </rPr>
      <t xml:space="preserve">
</t>
    </r>
  </si>
  <si>
    <t>Results Here</t>
  </si>
  <si>
    <r>
      <t xml:space="preserve">All teams must check in and submit a </t>
    </r>
    <r>
      <rPr>
        <b/>
        <sz val="10"/>
        <rFont val="Cambria"/>
        <family val="1"/>
        <scheme val="major"/>
      </rPr>
      <t>USAV Verified SportsEngine Roster</t>
    </r>
  </si>
  <si>
    <t>No Playoffs - the winner of Pool Play is the winner of the event.</t>
  </si>
  <si>
    <t>Only Player Numbers on the SportsEngine Roster can be corrected</t>
  </si>
  <si>
    <r>
      <t xml:space="preserve">Players / Coaches </t>
    </r>
    <r>
      <rPr>
        <b/>
        <sz val="10"/>
        <rFont val="Cambria"/>
        <family val="1"/>
        <scheme val="major"/>
      </rPr>
      <t>can not</t>
    </r>
    <r>
      <rPr>
        <sz val="10"/>
        <rFont val="Cambria"/>
        <family val="1"/>
        <scheme val="major"/>
      </rPr>
      <t xml:space="preserve"> be written into the SportsEngine Roster</t>
    </r>
  </si>
  <si>
    <t>Team Code</t>
  </si>
  <si>
    <t>Opposing Team Name</t>
  </si>
  <si>
    <t>Opposing Team Code</t>
  </si>
  <si>
    <t>Match Date</t>
  </si>
  <si>
    <t>Match Time</t>
  </si>
  <si>
    <t>Outcome</t>
  </si>
  <si>
    <t>Score 1</t>
  </si>
  <si>
    <t>Score 2</t>
  </si>
  <si>
    <t>Score 3</t>
  </si>
  <si>
    <t>Score 4</t>
  </si>
  <si>
    <t>Score 5</t>
  </si>
  <si>
    <t>Team1Name</t>
  </si>
  <si>
    <t>Team1Code</t>
  </si>
  <si>
    <t>Team2Name</t>
  </si>
  <si>
    <t>Team2Code</t>
  </si>
  <si>
    <t>Somers Sports Arena</t>
  </si>
  <si>
    <t>Somers</t>
  </si>
  <si>
    <t>0122 Downstate 14 Club #1 @Somers</t>
  </si>
  <si>
    <t>14C</t>
  </si>
  <si>
    <t>Downstate 14 White</t>
  </si>
  <si>
    <t>Downstate 14 Blue</t>
  </si>
  <si>
    <t>OC Lady Elite 14 Black</t>
  </si>
  <si>
    <t>Oxygen - 14U</t>
  </si>
  <si>
    <t>G14DSTJR3GE</t>
  </si>
  <si>
    <t>G14DSTJR4GE</t>
  </si>
  <si>
    <t>G14OCLEV1GE</t>
  </si>
  <si>
    <t>G14O2VBC1GE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</si>
</sst>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409]mmmm\ d\,\ yyyy;@"/>
    <numFmt numFmtId="165" formatCode="[$-F800]dddd\,\ mmmm\ dd\,\ yyyy"/>
    <numFmt numFmtId="166" formatCode="#\)"/>
    <numFmt numFmtId="167" formatCode="[$-409]d\-mmm\-yy;@"/>
    <numFmt numFmtId="168" formatCode="&quot;Ct.&quot;0"/>
    <numFmt numFmtId="169" formatCode="m/d/yy;@"/>
    <numFmt numFmtId="170" formatCode="yyyy\-mm\-dd"/>
    <numFmt numFmtId="171" formatCode="mm/dd/yyyy"/>
  </numFmts>
  <fonts count="27" x14ac:knownFonts="1">
    <font>
      <sz val="11"/>
      <color theme="1"/>
      <name val="Calibri"/>
      <family val="2"/>
      <scheme val="minor"/>
    </font>
    <font>
      <sz val="10"/>
      <name val="Times New Roman"/>
      <family val="1"/>
    </font>
    <font>
      <b/>
      <sz val="14"/>
      <name val="Cambria"/>
      <family val="1"/>
      <scheme val="major"/>
    </font>
    <font>
      <b/>
      <sz val="12"/>
      <name val="Cambria"/>
      <family val="1"/>
      <scheme val="major"/>
    </font>
    <font>
      <sz val="12"/>
      <name val="Cambria"/>
      <family val="1"/>
      <scheme val="major"/>
    </font>
    <font>
      <b/>
      <sz val="12"/>
      <color theme="0"/>
      <name val="Cambria"/>
      <family val="1"/>
      <scheme val="major"/>
    </font>
    <font>
      <sz val="8"/>
      <name val="Cambria"/>
      <family val="1"/>
      <scheme val="major"/>
    </font>
    <font>
      <b/>
      <sz val="10"/>
      <name val="Times New Roman"/>
      <family val="1"/>
    </font>
    <font>
      <sz val="14"/>
      <name val="Times New Roman"/>
      <family val="1"/>
    </font>
    <font>
      <sz val="10"/>
      <name val="Cambria"/>
      <family val="1"/>
      <scheme val="major"/>
    </font>
    <font>
      <b/>
      <sz val="10"/>
      <name val="Cambria"/>
      <family val="1"/>
      <scheme val="major"/>
    </font>
    <font>
      <sz val="11"/>
      <name val="Times New Roman"/>
      <family val="1"/>
    </font>
    <font>
      <b/>
      <u/>
      <sz val="10"/>
      <name val="Cambria"/>
      <family val="1"/>
      <scheme val="major"/>
    </font>
    <font>
      <sz val="14"/>
      <name val="Cambria"/>
      <family val="1"/>
      <scheme val="major"/>
    </font>
    <font>
      <sz val="12"/>
      <name val="Times New Roman"/>
      <family val="1"/>
    </font>
    <font>
      <sz val="10"/>
      <name val="Arial"/>
      <family val="2"/>
    </font>
    <font>
      <u/>
      <sz val="11"/>
      <color theme="10"/>
      <name val="Calibri"/>
      <family val="2"/>
      <scheme val="minor"/>
    </font>
    <font>
      <u/>
      <sz val="11"/>
      <color theme="11"/>
      <name val="Calibri"/>
      <family val="2"/>
      <scheme val="minor"/>
    </font>
    <font>
      <b/>
      <sz val="11"/>
      <name val="Calibri"/>
      <family val="2"/>
      <scheme val="minor"/>
    </font>
    <font>
      <sz val="8"/>
      <name val="Calibri"/>
      <family val="2"/>
      <scheme val="minor"/>
    </font>
    <font>
      <sz val="11"/>
      <color rgb="FF000000"/>
      <name val="Calibri"/>
      <family val="2"/>
      <scheme val="minor"/>
    </font>
    <font>
      <sz val="9"/>
      <name val="Cambria"/>
      <family val="1"/>
      <scheme val="major"/>
    </font>
    <font>
      <b/>
      <u/>
      <sz val="11"/>
      <color theme="1"/>
      <name val="Calibri"/>
      <family val="2"/>
      <scheme val="minor"/>
    </font>
    <font>
      <sz val="11"/>
      <name val="Calibri"/>
      <family val="2"/>
      <scheme val="minor"/>
    </font>
    <font>
      <sz val="12"/>
      <color rgb="FF252525"/>
      <name val="Calibri"/>
      <family val="2"/>
      <scheme val="minor"/>
    </font>
    <font>
      <b/>
      <u/>
      <sz val="11"/>
      <color rgb="FF000000"/>
      <name val="Calibri"/>
      <family val="2"/>
      <scheme val="minor"/>
    </font>
    <font>
      <sz val="8"/>
      <color rgb="FF424242"/>
      <name val="Open Sans"/>
      <family val="2"/>
    </font>
  </fonts>
  <fills count="9">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FFFF"/>
        <bgColor indexed="64"/>
      </patternFill>
    </fill>
  </fills>
  <borders count="3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medium">
        <color rgb="FFDDDDDD"/>
      </left>
      <right style="medium">
        <color rgb="FFDDDDDD"/>
      </right>
      <top style="medium">
        <color rgb="FFDDDDDD"/>
      </top>
      <bottom style="medium">
        <color rgb="FFDDDDDD"/>
      </bottom>
      <diagonal/>
    </border>
  </borders>
  <cellStyleXfs count="72">
    <xf numFmtId="0" fontId="0" fillId="0" borderId="0"/>
    <xf numFmtId="0" fontId="1" fillId="0" borderId="0"/>
    <xf numFmtId="0" fontId="1" fillId="0" borderId="0"/>
    <xf numFmtId="0" fontId="11" fillId="0" borderId="0"/>
    <xf numFmtId="0" fontId="1" fillId="0" borderId="0"/>
    <xf numFmtId="0" fontId="14" fillId="0" borderId="0"/>
    <xf numFmtId="0" fontId="1" fillId="0" borderId="0"/>
    <xf numFmtId="0" fontId="15" fillId="0" borderId="0"/>
    <xf numFmtId="0" fontId="15" fillId="0" borderId="0"/>
    <xf numFmtId="0" fontId="15" fillId="0" borderId="0"/>
    <xf numFmtId="0" fontId="15" fillId="0" borderId="0"/>
    <xf numFmtId="0" fontId="1"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 fillId="0" borderId="0"/>
    <xf numFmtId="0" fontId="16" fillId="0" borderId="0" applyNumberFormat="0" applyFill="0" applyBorder="0" applyAlignment="0" applyProtection="0"/>
  </cellStyleXfs>
  <cellXfs count="176">
    <xf numFmtId="0" fontId="0" fillId="0" borderId="0" xfId="0"/>
    <xf numFmtId="0" fontId="1" fillId="0" borderId="0" xfId="1"/>
    <xf numFmtId="0" fontId="4" fillId="0" borderId="0" xfId="1" applyFont="1"/>
    <xf numFmtId="0" fontId="4" fillId="0" borderId="0" xfId="1" applyFont="1" applyAlignment="1">
      <alignment horizontal="center"/>
    </xf>
    <xf numFmtId="0" fontId="3" fillId="0" borderId="4" xfId="1" applyFont="1" applyBorder="1"/>
    <xf numFmtId="0" fontId="3" fillId="0" borderId="0" xfId="1" applyFont="1"/>
    <xf numFmtId="0" fontId="3" fillId="0" borderId="4" xfId="1" applyFont="1" applyBorder="1" applyAlignment="1">
      <alignment horizontal="center"/>
    </xf>
    <xf numFmtId="0" fontId="3" fillId="0" borderId="0" xfId="1" applyFont="1" applyAlignment="1">
      <alignment horizontal="center"/>
    </xf>
    <xf numFmtId="0" fontId="7" fillId="0" borderId="0" xfId="1" applyFont="1"/>
    <xf numFmtId="0" fontId="4" fillId="0" borderId="0" xfId="1" applyFont="1" applyAlignment="1">
      <alignment horizontal="left" vertical="center"/>
    </xf>
    <xf numFmtId="0" fontId="8" fillId="0" borderId="0" xfId="1" applyFont="1" applyAlignment="1">
      <alignment horizontal="left" vertical="center"/>
    </xf>
    <xf numFmtId="0" fontId="1" fillId="0" borderId="0" xfId="1" applyAlignment="1">
      <alignment horizontal="center"/>
    </xf>
    <xf numFmtId="0" fontId="1" fillId="0" borderId="0" xfId="2"/>
    <xf numFmtId="0" fontId="9" fillId="0" borderId="0" xfId="2" applyFont="1"/>
    <xf numFmtId="0" fontId="10" fillId="0" borderId="0" xfId="2" applyFont="1" applyAlignment="1">
      <alignment horizontal="right"/>
    </xf>
    <xf numFmtId="0" fontId="10" fillId="0" borderId="6" xfId="2" applyFont="1" applyBorder="1"/>
    <xf numFmtId="0" fontId="9" fillId="0" borderId="6" xfId="2" applyFont="1" applyBorder="1" applyAlignment="1">
      <alignment horizontal="center"/>
    </xf>
    <xf numFmtId="0" fontId="9" fillId="0" borderId="6" xfId="2" applyFont="1" applyBorder="1"/>
    <xf numFmtId="0" fontId="9" fillId="0" borderId="7" xfId="2" applyFont="1" applyBorder="1"/>
    <xf numFmtId="0" fontId="9" fillId="0" borderId="8" xfId="2" applyFont="1" applyBorder="1"/>
    <xf numFmtId="0" fontId="9" fillId="0" borderId="0" xfId="2" applyFont="1" applyAlignment="1">
      <alignment horizontal="center"/>
    </xf>
    <xf numFmtId="0" fontId="9" fillId="0" borderId="9" xfId="2" applyFont="1" applyBorder="1"/>
    <xf numFmtId="0" fontId="9" fillId="0" borderId="10" xfId="2" applyFont="1" applyBorder="1"/>
    <xf numFmtId="0" fontId="9" fillId="0" borderId="11" xfId="2" applyFont="1" applyBorder="1"/>
    <xf numFmtId="0" fontId="9" fillId="0" borderId="11" xfId="2" applyFont="1" applyBorder="1" applyAlignment="1">
      <alignment horizontal="center"/>
    </xf>
    <xf numFmtId="0" fontId="9" fillId="0" borderId="12" xfId="2" applyFont="1" applyBorder="1"/>
    <xf numFmtId="0" fontId="10" fillId="0" borderId="0" xfId="3" applyFont="1" applyAlignment="1">
      <alignment horizontal="centerContinuous"/>
    </xf>
    <xf numFmtId="0" fontId="9" fillId="0" borderId="0" xfId="2" applyFont="1" applyAlignment="1">
      <alignment horizontal="centerContinuous"/>
    </xf>
    <xf numFmtId="0" fontId="12" fillId="0" borderId="5" xfId="2" applyFont="1" applyBorder="1" applyAlignment="1">
      <alignment horizontal="center"/>
    </xf>
    <xf numFmtId="0" fontId="12" fillId="0" borderId="6" xfId="2" applyFont="1" applyBorder="1" applyAlignment="1">
      <alignment horizontal="centerContinuous"/>
    </xf>
    <xf numFmtId="0" fontId="9" fillId="0" borderId="6" xfId="2" applyFont="1" applyBorder="1" applyAlignment="1">
      <alignment horizontal="centerContinuous"/>
    </xf>
    <xf numFmtId="0" fontId="12" fillId="0" borderId="7" xfId="2" applyFont="1" applyBorder="1" applyAlignment="1">
      <alignment horizontal="center"/>
    </xf>
    <xf numFmtId="0" fontId="9" fillId="0" borderId="8" xfId="2" applyFont="1" applyBorder="1" applyAlignment="1">
      <alignment horizontal="center"/>
    </xf>
    <xf numFmtId="0" fontId="9" fillId="0" borderId="9" xfId="2" applyFont="1" applyBorder="1" applyAlignment="1">
      <alignment horizontal="center"/>
    </xf>
    <xf numFmtId="0" fontId="9" fillId="0" borderId="10" xfId="2" applyFont="1" applyBorder="1" applyAlignment="1">
      <alignment horizontal="center"/>
    </xf>
    <xf numFmtId="0" fontId="9" fillId="0" borderId="11" xfId="2" applyFont="1" applyBorder="1" applyAlignment="1">
      <alignment horizontal="centerContinuous"/>
    </xf>
    <xf numFmtId="0" fontId="9" fillId="0" borderId="12" xfId="2" applyFont="1" applyBorder="1" applyAlignment="1">
      <alignment horizontal="center"/>
    </xf>
    <xf numFmtId="0" fontId="10" fillId="0" borderId="0" xfId="2" applyFont="1"/>
    <xf numFmtId="0" fontId="9" fillId="0" borderId="0" xfId="2" applyFont="1" applyAlignment="1">
      <alignment horizontal="right"/>
    </xf>
    <xf numFmtId="166" fontId="9" fillId="0" borderId="0" xfId="2" applyNumberFormat="1" applyFont="1"/>
    <xf numFmtId="0" fontId="11" fillId="0" borderId="0" xfId="2" applyFont="1"/>
    <xf numFmtId="0" fontId="9" fillId="0" borderId="0" xfId="1" applyFont="1"/>
    <xf numFmtId="0" fontId="4" fillId="0" borderId="0" xfId="1" applyFont="1" applyAlignment="1">
      <alignment horizontal="right"/>
    </xf>
    <xf numFmtId="0" fontId="4" fillId="0" borderId="4" xfId="1" applyFont="1" applyBorder="1" applyAlignment="1">
      <alignment horizontal="center"/>
    </xf>
    <xf numFmtId="0" fontId="2" fillId="0" borderId="0" xfId="1" applyFont="1" applyAlignment="1">
      <alignment horizontal="centerContinuous" vertical="center"/>
    </xf>
    <xf numFmtId="0" fontId="9" fillId="0" borderId="13" xfId="1" applyFont="1" applyBorder="1" applyAlignment="1">
      <alignment horizontal="centerContinuous" vertical="center"/>
    </xf>
    <xf numFmtId="0" fontId="9" fillId="0" borderId="14" xfId="1" applyFont="1" applyBorder="1" applyAlignment="1">
      <alignment horizontal="centerContinuous" vertical="center" wrapText="1"/>
    </xf>
    <xf numFmtId="0" fontId="9" fillId="0" borderId="15" xfId="1" applyFont="1" applyBorder="1" applyAlignment="1">
      <alignment horizontal="centerContinuous" vertical="center" wrapText="1"/>
    </xf>
    <xf numFmtId="0" fontId="9" fillId="0" borderId="13" xfId="1" applyFont="1" applyBorder="1" applyAlignment="1">
      <alignment horizontal="centerContinuous" vertical="center" wrapText="1"/>
    </xf>
    <xf numFmtId="0" fontId="9" fillId="0" borderId="16" xfId="1" applyFont="1" applyBorder="1" applyAlignment="1">
      <alignment horizontal="center" vertical="center" wrapText="1"/>
    </xf>
    <xf numFmtId="0" fontId="9" fillId="0" borderId="0" xfId="1" applyFont="1" applyAlignment="1">
      <alignment horizontal="center" vertical="center" wrapText="1"/>
    </xf>
    <xf numFmtId="0" fontId="1" fillId="0" borderId="0" xfId="1" applyAlignment="1">
      <alignment horizontal="center" vertical="center" wrapText="1"/>
    </xf>
    <xf numFmtId="0" fontId="9" fillId="0" borderId="17" xfId="1" applyFont="1" applyBorder="1" applyAlignment="1">
      <alignment horizontal="center" vertical="center"/>
    </xf>
    <xf numFmtId="0" fontId="13" fillId="0" borderId="18" xfId="1" applyFont="1" applyBorder="1" applyAlignment="1">
      <alignment horizontal="left" vertical="center"/>
    </xf>
    <xf numFmtId="0" fontId="13" fillId="0" borderId="18" xfId="1" applyFont="1" applyBorder="1" applyAlignment="1">
      <alignment horizontal="center" vertical="center"/>
    </xf>
    <xf numFmtId="0" fontId="13" fillId="0" borderId="19" xfId="1" applyFont="1" applyBorder="1" applyAlignment="1">
      <alignment horizontal="center" vertical="center"/>
    </xf>
    <xf numFmtId="0" fontId="13" fillId="0" borderId="19" xfId="1" applyFont="1" applyBorder="1" applyAlignment="1">
      <alignment horizontal="centerContinuous" vertical="center"/>
    </xf>
    <xf numFmtId="0" fontId="13" fillId="0" borderId="20" xfId="1" applyFont="1" applyBorder="1" applyAlignment="1">
      <alignment horizontal="center" vertical="center"/>
    </xf>
    <xf numFmtId="9" fontId="13" fillId="0" borderId="20" xfId="1" applyNumberFormat="1" applyFont="1" applyBorder="1" applyAlignment="1">
      <alignment horizontal="center" vertical="center"/>
    </xf>
    <xf numFmtId="0" fontId="9" fillId="0" borderId="0" xfId="1" applyFont="1" applyAlignment="1">
      <alignment vertical="center"/>
    </xf>
    <xf numFmtId="0" fontId="1" fillId="0" borderId="0" xfId="1" applyAlignment="1">
      <alignment vertical="center"/>
    </xf>
    <xf numFmtId="0" fontId="9" fillId="0" borderId="1" xfId="1" applyFont="1" applyBorder="1" applyAlignment="1">
      <alignment horizontal="center" vertical="center"/>
    </xf>
    <xf numFmtId="0" fontId="13" fillId="0" borderId="2" xfId="1" applyFont="1" applyBorder="1" applyAlignment="1">
      <alignment horizontal="left" vertical="center"/>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3" fillId="0" borderId="1" xfId="1" applyFont="1" applyBorder="1" applyAlignment="1">
      <alignment horizontal="centerContinuous" vertical="center"/>
    </xf>
    <xf numFmtId="0" fontId="13" fillId="0" borderId="3" xfId="1" applyFont="1" applyBorder="1" applyAlignment="1">
      <alignment horizontal="centerContinuous" vertical="center"/>
    </xf>
    <xf numFmtId="0" fontId="13" fillId="0" borderId="22" xfId="1" applyFont="1" applyBorder="1" applyAlignment="1">
      <alignment horizontal="center" vertical="center"/>
    </xf>
    <xf numFmtId="9" fontId="13" fillId="0" borderId="22" xfId="1" applyNumberFormat="1" applyFont="1" applyBorder="1" applyAlignment="1">
      <alignment horizontal="center" vertical="center"/>
    </xf>
    <xf numFmtId="0" fontId="9" fillId="0" borderId="0" xfId="1" applyFont="1" applyAlignment="1">
      <alignment horizontal="centerContinuous" vertical="center"/>
    </xf>
    <xf numFmtId="0" fontId="9" fillId="0" borderId="0" xfId="1" applyFont="1" applyAlignment="1">
      <alignment horizontal="centerContinuous"/>
    </xf>
    <xf numFmtId="0" fontId="9" fillId="0" borderId="23" xfId="1" applyFont="1" applyBorder="1" applyAlignment="1">
      <alignment horizontal="centerContinuous" vertical="center"/>
    </xf>
    <xf numFmtId="0" fontId="9" fillId="0" borderId="24" xfId="1" applyFont="1" applyBorder="1" applyAlignment="1">
      <alignment horizontal="centerContinuous" vertical="center"/>
    </xf>
    <xf numFmtId="0" fontId="9" fillId="0" borderId="21" xfId="1" applyFont="1" applyBorder="1" applyAlignment="1">
      <alignment horizontal="centerContinuous" vertical="center"/>
    </xf>
    <xf numFmtId="0" fontId="9" fillId="0" borderId="25" xfId="1" applyFont="1" applyBorder="1" applyAlignment="1">
      <alignment horizontal="centerContinuous" vertical="center"/>
    </xf>
    <xf numFmtId="0" fontId="9" fillId="0" borderId="26" xfId="1" applyFont="1" applyBorder="1" applyAlignment="1">
      <alignment horizontal="centerContinuous" vertical="center"/>
    </xf>
    <xf numFmtId="0" fontId="9" fillId="0" borderId="27" xfId="1" applyFont="1" applyBorder="1" applyAlignment="1">
      <alignment horizontal="centerContinuous" vertical="center"/>
    </xf>
    <xf numFmtId="0" fontId="9" fillId="0" borderId="22" xfId="1" applyFont="1" applyBorder="1" applyAlignment="1">
      <alignment horizontal="center" vertical="center"/>
    </xf>
    <xf numFmtId="0" fontId="9" fillId="0" borderId="0" xfId="1" applyFont="1" applyAlignment="1">
      <alignment horizontal="left"/>
    </xf>
    <xf numFmtId="0" fontId="9" fillId="0" borderId="0" xfId="1" applyFont="1" applyAlignment="1">
      <alignment horizontal="center" vertical="center"/>
    </xf>
    <xf numFmtId="168" fontId="10" fillId="0" borderId="6" xfId="2" applyNumberFormat="1" applyFont="1" applyBorder="1" applyAlignment="1">
      <alignment horizontal="right"/>
    </xf>
    <xf numFmtId="168" fontId="10" fillId="0" borderId="5" xfId="2" applyNumberFormat="1" applyFont="1" applyBorder="1" applyAlignment="1">
      <alignment horizontal="right"/>
    </xf>
    <xf numFmtId="0" fontId="13" fillId="0" borderId="22" xfId="1" applyFont="1" applyBorder="1" applyAlignment="1" applyProtection="1">
      <alignment horizontal="center"/>
      <protection locked="0"/>
    </xf>
    <xf numFmtId="0" fontId="9" fillId="0" borderId="0" xfId="1" applyFont="1" applyProtection="1">
      <protection locked="0"/>
    </xf>
    <xf numFmtId="0" fontId="7" fillId="0" borderId="0" xfId="1" applyFont="1" applyAlignment="1">
      <alignment horizontal="center"/>
    </xf>
    <xf numFmtId="0" fontId="1" fillId="0" borderId="0" xfId="1" applyAlignment="1">
      <alignment horizontal="center" vertical="center"/>
    </xf>
    <xf numFmtId="0" fontId="13" fillId="0" borderId="0" xfId="1" applyFont="1" applyAlignment="1">
      <alignment horizontal="center" vertical="center"/>
    </xf>
    <xf numFmtId="0" fontId="13" fillId="0" borderId="0" xfId="1" applyFont="1" applyAlignment="1" applyProtection="1">
      <alignment horizontal="center"/>
      <protection locked="0"/>
    </xf>
    <xf numFmtId="0" fontId="9" fillId="0" borderId="28" xfId="1" applyFont="1" applyBorder="1" applyAlignment="1">
      <alignment horizontal="left" vertical="center"/>
    </xf>
    <xf numFmtId="0" fontId="9" fillId="0" borderId="0" xfId="1" applyFont="1" applyAlignment="1">
      <alignment horizontal="left" vertical="center"/>
    </xf>
    <xf numFmtId="0" fontId="4" fillId="0" borderId="22" xfId="11" applyFont="1" applyBorder="1" applyAlignment="1">
      <alignment horizontal="center" vertical="center"/>
    </xf>
    <xf numFmtId="0" fontId="1" fillId="3" borderId="0" xfId="1" applyFill="1"/>
    <xf numFmtId="0" fontId="9" fillId="0" borderId="0" xfId="11" applyFont="1" applyAlignment="1">
      <alignment vertical="center" wrapText="1"/>
    </xf>
    <xf numFmtId="0" fontId="9" fillId="0" borderId="25" xfId="1" applyFont="1" applyBorder="1"/>
    <xf numFmtId="0" fontId="9" fillId="0" borderId="21" xfId="1" applyFont="1" applyBorder="1"/>
    <xf numFmtId="0" fontId="18" fillId="0" borderId="0" xfId="0" applyFont="1" applyAlignment="1">
      <alignment horizontal="right"/>
    </xf>
    <xf numFmtId="170" fontId="0" fillId="0" borderId="0" xfId="0" applyNumberFormat="1"/>
    <xf numFmtId="0" fontId="20" fillId="0" borderId="0" xfId="0" applyFont="1"/>
    <xf numFmtId="0" fontId="9" fillId="3" borderId="0" xfId="1" applyFont="1" applyFill="1" applyAlignment="1">
      <alignment vertical="center"/>
    </xf>
    <xf numFmtId="0" fontId="0" fillId="0" borderId="0" xfId="0" applyAlignment="1">
      <alignment horizontal="center"/>
    </xf>
    <xf numFmtId="0" fontId="20" fillId="0" borderId="0" xfId="0" applyFont="1" applyAlignment="1">
      <alignment horizontal="center"/>
    </xf>
    <xf numFmtId="0" fontId="2" fillId="0" borderId="0" xfId="1" applyFont="1"/>
    <xf numFmtId="0" fontId="6" fillId="0" borderId="28" xfId="1" applyFont="1" applyBorder="1" applyAlignment="1">
      <alignment horizontal="left" vertical="top"/>
    </xf>
    <xf numFmtId="0" fontId="10" fillId="3" borderId="0" xfId="1" applyFont="1" applyFill="1"/>
    <xf numFmtId="0" fontId="10" fillId="0" borderId="0" xfId="1" applyFont="1" applyAlignment="1">
      <alignment vertical="center"/>
    </xf>
    <xf numFmtId="0" fontId="9" fillId="0" borderId="28" xfId="1" applyFont="1" applyBorder="1"/>
    <xf numFmtId="0" fontId="9" fillId="0" borderId="24" xfId="1" applyFont="1" applyBorder="1"/>
    <xf numFmtId="0" fontId="5" fillId="5" borderId="0" xfId="1" applyFont="1" applyFill="1" applyAlignment="1">
      <alignment horizontal="center"/>
    </xf>
    <xf numFmtId="0" fontId="21" fillId="0" borderId="28" xfId="1" applyFont="1" applyBorder="1" applyAlignment="1">
      <alignment horizontal="center" vertical="top"/>
    </xf>
    <xf numFmtId="0" fontId="10" fillId="0" borderId="0" xfId="1" applyFont="1" applyAlignment="1">
      <alignment horizontal="center"/>
    </xf>
    <xf numFmtId="0" fontId="12" fillId="0" borderId="0" xfId="1" applyFont="1"/>
    <xf numFmtId="0" fontId="2" fillId="0" borderId="0" xfId="2" applyFont="1" applyAlignment="1">
      <alignment horizontal="center"/>
    </xf>
    <xf numFmtId="165" fontId="3" fillId="0" borderId="0" xfId="2" applyNumberFormat="1" applyFont="1" applyAlignment="1">
      <alignment horizontal="center"/>
    </xf>
    <xf numFmtId="0" fontId="10" fillId="0" borderId="0" xfId="3" applyFont="1"/>
    <xf numFmtId="0" fontId="9" fillId="0" borderId="0" xfId="70" applyFont="1" applyAlignment="1">
      <alignment horizontal="center"/>
    </xf>
    <xf numFmtId="0" fontId="9" fillId="0" borderId="0" xfId="2" applyFont="1" applyAlignment="1">
      <alignment horizontal="left"/>
    </xf>
    <xf numFmtId="0" fontId="9" fillId="0" borderId="0" xfId="70" applyFont="1" applyAlignment="1">
      <alignment horizontal="right"/>
    </xf>
    <xf numFmtId="0" fontId="22" fillId="0" borderId="0" xfId="0" applyFont="1" applyAlignment="1">
      <alignment horizontal="center"/>
    </xf>
    <xf numFmtId="0" fontId="22" fillId="0" borderId="0" xfId="0" applyFont="1"/>
    <xf numFmtId="0" fontId="23" fillId="0" borderId="0" xfId="2" applyFont="1" applyAlignment="1" applyProtection="1">
      <alignment horizontal="left"/>
      <protection locked="0"/>
    </xf>
    <xf numFmtId="0" fontId="24" fillId="0" borderId="0" xfId="0" applyFont="1"/>
    <xf numFmtId="16" fontId="23" fillId="0" borderId="0" xfId="2" applyNumberFormat="1" applyFont="1" applyAlignment="1" applyProtection="1">
      <alignment horizontal="left"/>
      <protection locked="0"/>
    </xf>
    <xf numFmtId="169" fontId="23" fillId="0" borderId="0" xfId="2" applyNumberFormat="1" applyFont="1" applyAlignment="1" applyProtection="1">
      <alignment horizontal="left"/>
      <protection locked="0"/>
    </xf>
    <xf numFmtId="0" fontId="25" fillId="0" borderId="0" xfId="0" applyFont="1"/>
    <xf numFmtId="0" fontId="25" fillId="0" borderId="0" xfId="0" applyFont="1" applyAlignment="1">
      <alignment horizontal="center"/>
    </xf>
    <xf numFmtId="0" fontId="25" fillId="8" borderId="29" xfId="0" applyFont="1" applyFill="1" applyBorder="1" applyAlignment="1">
      <alignment horizontal="center" vertical="top"/>
    </xf>
    <xf numFmtId="171" fontId="0" fillId="0" borderId="0" xfId="0" applyNumberFormat="1" applyAlignment="1">
      <alignment horizontal="center"/>
    </xf>
    <xf numFmtId="18" fontId="0" fillId="0" borderId="0" xfId="0" applyNumberFormat="1" applyAlignment="1">
      <alignment horizontal="center"/>
    </xf>
    <xf numFmtId="170" fontId="22" fillId="0" borderId="0" xfId="0" applyNumberFormat="1" applyFont="1"/>
    <xf numFmtId="0" fontId="1" fillId="4" borderId="0" xfId="1" applyFill="1" applyAlignment="1">
      <alignment horizontal="center" vertical="center"/>
    </xf>
    <xf numFmtId="0" fontId="2" fillId="0" borderId="0" xfId="1" applyFont="1" applyAlignment="1">
      <alignment horizontal="center"/>
    </xf>
    <xf numFmtId="0" fontId="3" fillId="0" borderId="0" xfId="1" applyFont="1" applyAlignment="1">
      <alignment horizontal="center"/>
    </xf>
    <xf numFmtId="164" fontId="3" fillId="0" borderId="0" xfId="1" applyNumberFormat="1" applyFont="1" applyAlignment="1">
      <alignment horizontal="center"/>
    </xf>
    <xf numFmtId="0" fontId="5" fillId="2" borderId="0" xfId="1" applyFont="1" applyFill="1" applyAlignment="1">
      <alignment horizontal="center"/>
    </xf>
    <xf numFmtId="0" fontId="9" fillId="7" borderId="1" xfId="1" applyFont="1" applyFill="1" applyBorder="1" applyAlignment="1">
      <alignment horizontal="left" vertical="center" wrapText="1"/>
    </xf>
    <xf numFmtId="0" fontId="9" fillId="7" borderId="2" xfId="1" applyFont="1" applyFill="1" applyBorder="1" applyAlignment="1">
      <alignment horizontal="left" vertical="center" wrapText="1"/>
    </xf>
    <xf numFmtId="0" fontId="9" fillId="7" borderId="3" xfId="1" applyFont="1" applyFill="1" applyBorder="1" applyAlignment="1">
      <alignment horizontal="left" vertical="center" wrapText="1"/>
    </xf>
    <xf numFmtId="0" fontId="2" fillId="0" borderId="0" xfId="2" applyFont="1" applyAlignment="1">
      <alignment horizontal="center"/>
    </xf>
    <xf numFmtId="0" fontId="3" fillId="0" borderId="0" xfId="2" applyFont="1" applyAlignment="1">
      <alignment horizontal="center"/>
    </xf>
    <xf numFmtId="165" fontId="3" fillId="0" borderId="0" xfId="2" applyNumberFormat="1" applyFont="1" applyAlignment="1">
      <alignment horizontal="center"/>
    </xf>
    <xf numFmtId="0" fontId="10" fillId="0" borderId="0" xfId="2" applyFont="1" applyAlignment="1">
      <alignment horizontal="center"/>
    </xf>
    <xf numFmtId="0" fontId="9" fillId="0" borderId="26" xfId="1" applyFont="1" applyBorder="1" applyAlignment="1">
      <alignment horizontal="center" vertical="center"/>
    </xf>
    <xf numFmtId="0" fontId="9" fillId="0" borderId="27" xfId="1" applyFont="1" applyBorder="1" applyAlignment="1">
      <alignment horizontal="center" vertical="center"/>
    </xf>
    <xf numFmtId="0" fontId="9" fillId="3" borderId="0" xfId="11" applyFont="1" applyFill="1" applyAlignment="1">
      <alignment horizontal="center" vertical="center"/>
    </xf>
    <xf numFmtId="0" fontId="9" fillId="3" borderId="25" xfId="11" applyFont="1" applyFill="1" applyBorder="1" applyAlignment="1">
      <alignment horizontal="center" vertical="center"/>
    </xf>
    <xf numFmtId="167" fontId="4" fillId="0" borderId="4" xfId="1" applyNumberFormat="1" applyFont="1" applyBorder="1" applyAlignment="1">
      <alignment horizontal="center"/>
    </xf>
    <xf numFmtId="0" fontId="9" fillId="0" borderId="23" xfId="1" applyFont="1" applyBorder="1" applyAlignment="1">
      <alignment horizontal="center" vertical="center"/>
    </xf>
    <xf numFmtId="0" fontId="9" fillId="0" borderId="24" xfId="1" applyFont="1" applyBorder="1" applyAlignment="1">
      <alignment horizontal="center" vertical="center"/>
    </xf>
    <xf numFmtId="0" fontId="9" fillId="0" borderId="21" xfId="1" applyFont="1" applyBorder="1" applyAlignment="1">
      <alignment horizontal="center" vertical="center"/>
    </xf>
    <xf numFmtId="0" fontId="9" fillId="0" borderId="25" xfId="1" applyFont="1" applyBorder="1" applyAlignment="1">
      <alignment horizontal="center" vertical="center"/>
    </xf>
    <xf numFmtId="0" fontId="9" fillId="3" borderId="0" xfId="11" applyFont="1" applyFill="1" applyAlignment="1">
      <alignment horizontal="center" vertical="center" wrapText="1"/>
    </xf>
    <xf numFmtId="0" fontId="4" fillId="0" borderId="4" xfId="1" applyFont="1" applyBorder="1" applyAlignment="1">
      <alignment horizontal="center"/>
    </xf>
    <xf numFmtId="0" fontId="9" fillId="6" borderId="0" xfId="1" applyFont="1" applyFill="1" applyAlignment="1">
      <alignment horizontal="center" vertical="top"/>
    </xf>
    <xf numFmtId="0" fontId="9" fillId="6" borderId="25" xfId="1" applyFont="1" applyFill="1" applyBorder="1" applyAlignment="1">
      <alignment horizontal="center" vertical="top"/>
    </xf>
    <xf numFmtId="0" fontId="6" fillId="0" borderId="23" xfId="1" quotePrefix="1" applyFont="1" applyBorder="1" applyAlignment="1" applyProtection="1">
      <alignment horizontal="center" vertical="top"/>
      <protection locked="0"/>
    </xf>
    <xf numFmtId="0" fontId="6" fillId="0" borderId="28" xfId="1" applyFont="1" applyBorder="1" applyAlignment="1" applyProtection="1">
      <alignment horizontal="center" vertical="top"/>
      <protection locked="0"/>
    </xf>
    <xf numFmtId="0" fontId="10" fillId="0" borderId="4" xfId="1" applyFont="1" applyBorder="1" applyAlignment="1">
      <alignment horizontal="left"/>
    </xf>
    <xf numFmtId="0" fontId="10" fillId="0" borderId="27" xfId="1" applyFont="1" applyBorder="1" applyAlignment="1">
      <alignment horizontal="left"/>
    </xf>
    <xf numFmtId="0" fontId="9" fillId="6" borderId="0" xfId="1" applyFont="1" applyFill="1" applyAlignment="1">
      <alignment horizontal="center"/>
    </xf>
    <xf numFmtId="0" fontId="9" fillId="6" borderId="25" xfId="1" applyFont="1" applyFill="1" applyBorder="1" applyAlignment="1">
      <alignment horizontal="center"/>
    </xf>
    <xf numFmtId="0" fontId="9" fillId="0" borderId="0" xfId="1" applyFont="1" applyAlignment="1">
      <alignment horizontal="center"/>
    </xf>
    <xf numFmtId="0" fontId="10" fillId="0" borderId="26" xfId="1" applyFont="1" applyBorder="1" applyAlignment="1" applyProtection="1">
      <alignment horizontal="center"/>
      <protection locked="0"/>
    </xf>
    <xf numFmtId="0" fontId="10" fillId="0" borderId="4" xfId="1" applyFont="1" applyBorder="1" applyAlignment="1" applyProtection="1">
      <alignment horizontal="center"/>
      <protection locked="0"/>
    </xf>
    <xf numFmtId="0" fontId="10" fillId="0" borderId="27" xfId="1" applyFont="1" applyBorder="1" applyAlignment="1" applyProtection="1">
      <alignment horizontal="center"/>
      <protection locked="0"/>
    </xf>
    <xf numFmtId="0" fontId="9" fillId="0" borderId="21" xfId="1" applyFont="1" applyBorder="1" applyAlignment="1">
      <alignment horizontal="center"/>
    </xf>
    <xf numFmtId="17" fontId="6" fillId="0" borderId="23" xfId="1" quotePrefix="1" applyNumberFormat="1" applyFont="1" applyBorder="1" applyAlignment="1" applyProtection="1">
      <alignment horizontal="center" vertical="top"/>
      <protection locked="0"/>
    </xf>
    <xf numFmtId="17" fontId="6" fillId="0" borderId="28" xfId="1" quotePrefix="1" applyNumberFormat="1" applyFont="1" applyBorder="1" applyAlignment="1" applyProtection="1">
      <alignment horizontal="center" vertical="top"/>
      <protection locked="0"/>
    </xf>
    <xf numFmtId="17" fontId="6" fillId="0" borderId="24" xfId="1" quotePrefix="1" applyNumberFormat="1" applyFont="1" applyBorder="1" applyAlignment="1" applyProtection="1">
      <alignment horizontal="center" vertical="top"/>
      <protection locked="0"/>
    </xf>
    <xf numFmtId="0" fontId="6" fillId="0" borderId="21" xfId="1" applyFont="1" applyBorder="1" applyAlignment="1">
      <alignment horizontal="center" vertical="top"/>
    </xf>
    <xf numFmtId="0" fontId="6" fillId="0" borderId="0" xfId="1" applyFont="1" applyAlignment="1">
      <alignment horizontal="center" vertical="top"/>
    </xf>
    <xf numFmtId="0" fontId="6" fillId="0" borderId="25" xfId="1" applyFont="1" applyBorder="1" applyAlignment="1">
      <alignment horizontal="center" vertical="top"/>
    </xf>
    <xf numFmtId="15" fontId="4" fillId="0" borderId="4" xfId="1" applyNumberFormat="1" applyFont="1" applyBorder="1" applyAlignment="1">
      <alignment horizontal="center"/>
    </xf>
    <xf numFmtId="16" fontId="4" fillId="0" borderId="4" xfId="1" applyNumberFormat="1" applyFont="1" applyBorder="1" applyAlignment="1">
      <alignment horizontal="center"/>
    </xf>
    <xf numFmtId="0" fontId="4" fillId="0" borderId="4" xfId="1" quotePrefix="1" applyFont="1" applyBorder="1" applyAlignment="1">
      <alignment horizontal="center"/>
    </xf>
    <xf numFmtId="0" fontId="16" fillId="0" borderId="0" xfId="71"/>
    <xf numFmtId="0" fontId="26" fillId="0" borderId="0" xfId="0" applyFont="1"/>
  </cellXfs>
  <cellStyles count="72">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71" builtinId="8"/>
    <cellStyle name="Normal" xfId="0" builtinId="0"/>
    <cellStyle name="Normal 2" xfId="1" xr:uid="{00000000-0005-0000-0000-00003B000000}"/>
    <cellStyle name="Normal 2 2" xfId="4" xr:uid="{00000000-0005-0000-0000-00003C000000}"/>
    <cellStyle name="Normal 3" xfId="5" xr:uid="{00000000-0005-0000-0000-00003D000000}"/>
    <cellStyle name="Normal 3 2" xfId="6" xr:uid="{00000000-0005-0000-0000-00003E000000}"/>
    <cellStyle name="Normal 4" xfId="7" xr:uid="{00000000-0005-0000-0000-00003F000000}"/>
    <cellStyle name="Normal 5" xfId="8" xr:uid="{00000000-0005-0000-0000-000040000000}"/>
    <cellStyle name="Normal 5 2" xfId="9" xr:uid="{00000000-0005-0000-0000-000041000000}"/>
    <cellStyle name="Normal 6" xfId="10" xr:uid="{00000000-0005-0000-0000-000042000000}"/>
    <cellStyle name="Normal_Book3" xfId="3" xr:uid="{00000000-0005-0000-0000-000043000000}"/>
    <cellStyle name="Normal_DAC Inaugural" xfId="11" xr:uid="{00000000-0005-0000-0000-000044000000}"/>
    <cellStyle name="Normal_Friendship" xfId="2" xr:uid="{00000000-0005-0000-0000-000045000000}"/>
    <cellStyle name="Normal_Friendship 2" xfId="70" xr:uid="{00000000-0005-0000-0000-000046000000}"/>
  </cellStyles>
  <dxfs count="3">
    <dxf>
      <fill>
        <patternFill>
          <bgColor theme="0" tint="-4.9989318521683403E-2"/>
        </patternFill>
      </fill>
    </dxf>
    <dxf>
      <fill>
        <patternFill>
          <bgColor theme="0" tint="-0.14996795556505021"/>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168460</xdr:colOff>
      <xdr:row>4</xdr:row>
      <xdr:rowOff>53520</xdr:rowOff>
    </xdr:to>
    <xdr:pic>
      <xdr:nvPicPr>
        <xdr:cNvPr id="2" name="Picture 1">
          <a:extLst>
            <a:ext uri="{FF2B5EF4-FFF2-40B4-BE49-F238E27FC236}">
              <a16:creationId xmlns:a16="http://schemas.microsoft.com/office/drawing/2014/main" id="{ADAB6537-9D78-46DE-877D-54D66CE812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1195928" cy="88094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87989</xdr:rowOff>
    </xdr:from>
    <xdr:to>
      <xdr:col>1</xdr:col>
      <xdr:colOff>553443</xdr:colOff>
      <xdr:row>6</xdr:row>
      <xdr:rowOff>19050</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87989"/>
          <a:ext cx="1159233" cy="93118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247015</xdr:colOff>
      <xdr:row>4</xdr:row>
      <xdr:rowOff>1155</xdr:rowOff>
    </xdr:to>
    <xdr:pic>
      <xdr:nvPicPr>
        <xdr:cNvPr id="3" name="Picture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933450" cy="74982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dvancedeventsystems.com/operations/events/manage/32461/registration" TargetMode="External"/><Relationship Id="rId2" Type="http://schemas.openxmlformats.org/officeDocument/2006/relationships/hyperlink" Target="https://advancedeventsystems.com/operations/events/manage/32461/registration" TargetMode="External"/><Relationship Id="rId1" Type="http://schemas.openxmlformats.org/officeDocument/2006/relationships/hyperlink" Target="https://advancedeventsystems.com/operations/events/manage/32461/registration" TargetMode="External"/><Relationship Id="rId4" Type="http://schemas.openxmlformats.org/officeDocument/2006/relationships/hyperlink" Target="https://advancedeventsystems.com/operations/events/manage/32461/registr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9"/>
  <sheetViews>
    <sheetView workbookViewId="0">
      <selection activeCell="C5" sqref="C5"/>
    </sheetView>
  </sheetViews>
  <sheetFormatPr defaultColWidth="8.6640625" defaultRowHeight="14.4" x14ac:dyDescent="0.3"/>
  <cols>
    <col min="1" max="1" width="8.6640625" style="99"/>
    <col min="2" max="2" width="25.6640625" customWidth="1"/>
    <col min="3" max="3" width="15.6640625" customWidth="1"/>
  </cols>
  <sheetData>
    <row r="1" spans="1:6" s="118" customFormat="1" x14ac:dyDescent="0.3">
      <c r="A1" s="117" t="s">
        <v>60</v>
      </c>
      <c r="B1" s="118" t="s">
        <v>28</v>
      </c>
      <c r="C1" s="118" t="s">
        <v>61</v>
      </c>
      <c r="E1" s="95" t="s">
        <v>79</v>
      </c>
      <c r="F1" s="119" t="s">
        <v>129</v>
      </c>
    </row>
    <row r="2" spans="1:6" x14ac:dyDescent="0.3">
      <c r="A2" s="99">
        <v>1</v>
      </c>
      <c r="B2" s="174" t="s">
        <v>133</v>
      </c>
      <c r="C2" s="175" t="s">
        <v>137</v>
      </c>
      <c r="E2" s="95" t="s">
        <v>80</v>
      </c>
      <c r="F2" s="119" t="s">
        <v>130</v>
      </c>
    </row>
    <row r="3" spans="1:6" x14ac:dyDescent="0.3">
      <c r="A3" s="99">
        <v>2</v>
      </c>
      <c r="B3" s="174" t="s">
        <v>134</v>
      </c>
      <c r="C3" s="175" t="s">
        <v>138</v>
      </c>
      <c r="E3" s="95" t="s">
        <v>81</v>
      </c>
      <c r="F3" s="119" t="s">
        <v>131</v>
      </c>
    </row>
    <row r="4" spans="1:6" x14ac:dyDescent="0.3">
      <c r="A4" s="99">
        <v>3</v>
      </c>
      <c r="B4" s="174" t="s">
        <v>135</v>
      </c>
      <c r="C4" s="175" t="s">
        <v>139</v>
      </c>
      <c r="E4" s="95" t="s">
        <v>82</v>
      </c>
      <c r="F4" s="121" t="s">
        <v>132</v>
      </c>
    </row>
    <row r="5" spans="1:6" x14ac:dyDescent="0.3">
      <c r="A5" s="99">
        <v>4</v>
      </c>
      <c r="B5" s="174" t="s">
        <v>136</v>
      </c>
      <c r="C5" s="175" t="s">
        <v>140</v>
      </c>
      <c r="E5" s="95" t="s">
        <v>83</v>
      </c>
      <c r="F5" s="122">
        <v>44948</v>
      </c>
    </row>
    <row r="6" spans="1:6" ht="15.6" x14ac:dyDescent="0.3">
      <c r="C6" s="120"/>
      <c r="E6" s="95" t="s">
        <v>84</v>
      </c>
      <c r="F6" t="s">
        <v>92</v>
      </c>
    </row>
    <row r="7" spans="1:6" ht="15.6" x14ac:dyDescent="0.3">
      <c r="C7" s="120"/>
      <c r="E7" s="95" t="s">
        <v>85</v>
      </c>
      <c r="F7" s="119">
        <v>1</v>
      </c>
    </row>
    <row r="8" spans="1:6" ht="15.6" x14ac:dyDescent="0.3">
      <c r="C8" s="120"/>
      <c r="E8" s="95" t="s">
        <v>86</v>
      </c>
      <c r="F8" s="119" t="s">
        <v>59</v>
      </c>
    </row>
    <row r="9" spans="1:6" ht="15.6" x14ac:dyDescent="0.3">
      <c r="C9" s="120"/>
    </row>
  </sheetData>
  <sortState xmlns:xlrd2="http://schemas.microsoft.com/office/spreadsheetml/2017/richdata2" ref="A2:C9">
    <sortCondition ref="A1"/>
  </sortState>
  <hyperlinks>
    <hyperlink ref="B2" r:id="rId1" display="https://advancedeventsystems.com/operations/events/manage/32461/registration" xr:uid="{FF040C5C-6B5C-46F6-8E50-1684F8136B78}"/>
    <hyperlink ref="B3" r:id="rId2" display="https://advancedeventsystems.com/operations/events/manage/32461/registration" xr:uid="{ACE80BC9-51B0-4F4F-ABCF-D930B6FB9E74}"/>
    <hyperlink ref="B4" r:id="rId3" display="https://advancedeventsystems.com/operations/events/manage/32461/registration" xr:uid="{643E80CE-F7A7-4E35-9301-4A49B777A8B5}"/>
    <hyperlink ref="B5" r:id="rId4" display="https://advancedeventsystems.com/operations/events/manage/32461/registration" xr:uid="{49331AAB-56D9-43A0-B09B-AD7D24D9273A}"/>
  </hyperlinks>
  <pageMargins left="0.7" right="0.7" top="0.75" bottom="0.75" header="0.3" footer="0.3"/>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21"/>
  <sheetViews>
    <sheetView topLeftCell="B1" workbookViewId="0">
      <selection activeCell="B7" sqref="B7:H7"/>
    </sheetView>
  </sheetViews>
  <sheetFormatPr defaultColWidth="8.6640625" defaultRowHeight="13.2" x14ac:dyDescent="0.25"/>
  <cols>
    <col min="1" max="1" width="5.6640625" style="11" hidden="1" customWidth="1"/>
    <col min="2" max="2" width="33.6640625" style="1" customWidth="1"/>
    <col min="3" max="3" width="2.6640625" style="1" customWidth="1"/>
    <col min="4" max="4" width="17.6640625" style="11" customWidth="1"/>
    <col min="5" max="5" width="2.6640625" style="11" customWidth="1"/>
    <col min="6" max="6" width="17.6640625" style="11" customWidth="1"/>
    <col min="7" max="7" width="2.6640625" style="11" customWidth="1"/>
    <col min="8" max="8" width="17.6640625" style="11" customWidth="1"/>
    <col min="9" max="10" width="0" style="1" hidden="1" customWidth="1"/>
    <col min="11" max="257" width="8.6640625" style="1"/>
    <col min="258" max="258" width="19.44140625" style="1" bestFit="1" customWidth="1"/>
    <col min="259" max="259" width="3.33203125" style="1" customWidth="1"/>
    <col min="260" max="260" width="17.6640625" style="1" customWidth="1"/>
    <col min="261" max="261" width="3.33203125" style="1" customWidth="1"/>
    <col min="262" max="262" width="17.6640625" style="1" customWidth="1"/>
    <col min="263" max="263" width="3.33203125" style="1" customWidth="1"/>
    <col min="264" max="264" width="17.6640625" style="1" customWidth="1"/>
    <col min="265" max="513" width="8.6640625" style="1"/>
    <col min="514" max="514" width="19.44140625" style="1" bestFit="1" customWidth="1"/>
    <col min="515" max="515" width="3.33203125" style="1" customWidth="1"/>
    <col min="516" max="516" width="17.6640625" style="1" customWidth="1"/>
    <col min="517" max="517" width="3.33203125" style="1" customWidth="1"/>
    <col min="518" max="518" width="17.6640625" style="1" customWidth="1"/>
    <col min="519" max="519" width="3.33203125" style="1" customWidth="1"/>
    <col min="520" max="520" width="17.6640625" style="1" customWidth="1"/>
    <col min="521" max="769" width="8.6640625" style="1"/>
    <col min="770" max="770" width="19.44140625" style="1" bestFit="1" customWidth="1"/>
    <col min="771" max="771" width="3.33203125" style="1" customWidth="1"/>
    <col min="772" max="772" width="17.6640625" style="1" customWidth="1"/>
    <col min="773" max="773" width="3.33203125" style="1" customWidth="1"/>
    <col min="774" max="774" width="17.6640625" style="1" customWidth="1"/>
    <col min="775" max="775" width="3.33203125" style="1" customWidth="1"/>
    <col min="776" max="776" width="17.6640625" style="1" customWidth="1"/>
    <col min="777" max="1025" width="8.6640625" style="1"/>
    <col min="1026" max="1026" width="19.44140625" style="1" bestFit="1" customWidth="1"/>
    <col min="1027" max="1027" width="3.33203125" style="1" customWidth="1"/>
    <col min="1028" max="1028" width="17.6640625" style="1" customWidth="1"/>
    <col min="1029" max="1029" width="3.33203125" style="1" customWidth="1"/>
    <col min="1030" max="1030" width="17.6640625" style="1" customWidth="1"/>
    <col min="1031" max="1031" width="3.33203125" style="1" customWidth="1"/>
    <col min="1032" max="1032" width="17.6640625" style="1" customWidth="1"/>
    <col min="1033" max="1281" width="8.6640625" style="1"/>
    <col min="1282" max="1282" width="19.44140625" style="1" bestFit="1" customWidth="1"/>
    <col min="1283" max="1283" width="3.33203125" style="1" customWidth="1"/>
    <col min="1284" max="1284" width="17.6640625" style="1" customWidth="1"/>
    <col min="1285" max="1285" width="3.33203125" style="1" customWidth="1"/>
    <col min="1286" max="1286" width="17.6640625" style="1" customWidth="1"/>
    <col min="1287" max="1287" width="3.33203125" style="1" customWidth="1"/>
    <col min="1288" max="1288" width="17.6640625" style="1" customWidth="1"/>
    <col min="1289" max="1537" width="8.6640625" style="1"/>
    <col min="1538" max="1538" width="19.44140625" style="1" bestFit="1" customWidth="1"/>
    <col min="1539" max="1539" width="3.33203125" style="1" customWidth="1"/>
    <col min="1540" max="1540" width="17.6640625" style="1" customWidth="1"/>
    <col min="1541" max="1541" width="3.33203125" style="1" customWidth="1"/>
    <col min="1542" max="1542" width="17.6640625" style="1" customWidth="1"/>
    <col min="1543" max="1543" width="3.33203125" style="1" customWidth="1"/>
    <col min="1544" max="1544" width="17.6640625" style="1" customWidth="1"/>
    <col min="1545" max="1793" width="8.6640625" style="1"/>
    <col min="1794" max="1794" width="19.44140625" style="1" bestFit="1" customWidth="1"/>
    <col min="1795" max="1795" width="3.33203125" style="1" customWidth="1"/>
    <col min="1796" max="1796" width="17.6640625" style="1" customWidth="1"/>
    <col min="1797" max="1797" width="3.33203125" style="1" customWidth="1"/>
    <col min="1798" max="1798" width="17.6640625" style="1" customWidth="1"/>
    <col min="1799" max="1799" width="3.33203125" style="1" customWidth="1"/>
    <col min="1800" max="1800" width="17.6640625" style="1" customWidth="1"/>
    <col min="1801" max="2049" width="8.6640625" style="1"/>
    <col min="2050" max="2050" width="19.44140625" style="1" bestFit="1" customWidth="1"/>
    <col min="2051" max="2051" width="3.33203125" style="1" customWidth="1"/>
    <col min="2052" max="2052" width="17.6640625" style="1" customWidth="1"/>
    <col min="2053" max="2053" width="3.33203125" style="1" customWidth="1"/>
    <col min="2054" max="2054" width="17.6640625" style="1" customWidth="1"/>
    <col min="2055" max="2055" width="3.33203125" style="1" customWidth="1"/>
    <col min="2056" max="2056" width="17.6640625" style="1" customWidth="1"/>
    <col min="2057" max="2305" width="8.6640625" style="1"/>
    <col min="2306" max="2306" width="19.44140625" style="1" bestFit="1" customWidth="1"/>
    <col min="2307" max="2307" width="3.33203125" style="1" customWidth="1"/>
    <col min="2308" max="2308" width="17.6640625" style="1" customWidth="1"/>
    <col min="2309" max="2309" width="3.33203125" style="1" customWidth="1"/>
    <col min="2310" max="2310" width="17.6640625" style="1" customWidth="1"/>
    <col min="2311" max="2311" width="3.33203125" style="1" customWidth="1"/>
    <col min="2312" max="2312" width="17.6640625" style="1" customWidth="1"/>
    <col min="2313" max="2561" width="8.6640625" style="1"/>
    <col min="2562" max="2562" width="19.44140625" style="1" bestFit="1" customWidth="1"/>
    <col min="2563" max="2563" width="3.33203125" style="1" customWidth="1"/>
    <col min="2564" max="2564" width="17.6640625" style="1" customWidth="1"/>
    <col min="2565" max="2565" width="3.33203125" style="1" customWidth="1"/>
    <col min="2566" max="2566" width="17.6640625" style="1" customWidth="1"/>
    <col min="2567" max="2567" width="3.33203125" style="1" customWidth="1"/>
    <col min="2568" max="2568" width="17.6640625" style="1" customWidth="1"/>
    <col min="2569" max="2817" width="8.6640625" style="1"/>
    <col min="2818" max="2818" width="19.44140625" style="1" bestFit="1" customWidth="1"/>
    <col min="2819" max="2819" width="3.33203125" style="1" customWidth="1"/>
    <col min="2820" max="2820" width="17.6640625" style="1" customWidth="1"/>
    <col min="2821" max="2821" width="3.33203125" style="1" customWidth="1"/>
    <col min="2822" max="2822" width="17.6640625" style="1" customWidth="1"/>
    <col min="2823" max="2823" width="3.33203125" style="1" customWidth="1"/>
    <col min="2824" max="2824" width="17.6640625" style="1" customWidth="1"/>
    <col min="2825" max="3073" width="8.6640625" style="1"/>
    <col min="3074" max="3074" width="19.44140625" style="1" bestFit="1" customWidth="1"/>
    <col min="3075" max="3075" width="3.33203125" style="1" customWidth="1"/>
    <col min="3076" max="3076" width="17.6640625" style="1" customWidth="1"/>
    <col min="3077" max="3077" width="3.33203125" style="1" customWidth="1"/>
    <col min="3078" max="3078" width="17.6640625" style="1" customWidth="1"/>
    <col min="3079" max="3079" width="3.33203125" style="1" customWidth="1"/>
    <col min="3080" max="3080" width="17.6640625" style="1" customWidth="1"/>
    <col min="3081" max="3329" width="8.6640625" style="1"/>
    <col min="3330" max="3330" width="19.44140625" style="1" bestFit="1" customWidth="1"/>
    <col min="3331" max="3331" width="3.33203125" style="1" customWidth="1"/>
    <col min="3332" max="3332" width="17.6640625" style="1" customWidth="1"/>
    <col min="3333" max="3333" width="3.33203125" style="1" customWidth="1"/>
    <col min="3334" max="3334" width="17.6640625" style="1" customWidth="1"/>
    <col min="3335" max="3335" width="3.33203125" style="1" customWidth="1"/>
    <col min="3336" max="3336" width="17.6640625" style="1" customWidth="1"/>
    <col min="3337" max="3585" width="8.6640625" style="1"/>
    <col min="3586" max="3586" width="19.44140625" style="1" bestFit="1" customWidth="1"/>
    <col min="3587" max="3587" width="3.33203125" style="1" customWidth="1"/>
    <col min="3588" max="3588" width="17.6640625" style="1" customWidth="1"/>
    <col min="3589" max="3589" width="3.33203125" style="1" customWidth="1"/>
    <col min="3590" max="3590" width="17.6640625" style="1" customWidth="1"/>
    <col min="3591" max="3591" width="3.33203125" style="1" customWidth="1"/>
    <col min="3592" max="3592" width="17.6640625" style="1" customWidth="1"/>
    <col min="3593" max="3841" width="8.6640625" style="1"/>
    <col min="3842" max="3842" width="19.44140625" style="1" bestFit="1" customWidth="1"/>
    <col min="3843" max="3843" width="3.33203125" style="1" customWidth="1"/>
    <col min="3844" max="3844" width="17.6640625" style="1" customWidth="1"/>
    <col min="3845" max="3845" width="3.33203125" style="1" customWidth="1"/>
    <col min="3846" max="3846" width="17.6640625" style="1" customWidth="1"/>
    <col min="3847" max="3847" width="3.33203125" style="1" customWidth="1"/>
    <col min="3848" max="3848" width="17.6640625" style="1" customWidth="1"/>
    <col min="3849" max="4097" width="8.6640625" style="1"/>
    <col min="4098" max="4098" width="19.44140625" style="1" bestFit="1" customWidth="1"/>
    <col min="4099" max="4099" width="3.33203125" style="1" customWidth="1"/>
    <col min="4100" max="4100" width="17.6640625" style="1" customWidth="1"/>
    <col min="4101" max="4101" width="3.33203125" style="1" customWidth="1"/>
    <col min="4102" max="4102" width="17.6640625" style="1" customWidth="1"/>
    <col min="4103" max="4103" width="3.33203125" style="1" customWidth="1"/>
    <col min="4104" max="4104" width="17.6640625" style="1" customWidth="1"/>
    <col min="4105" max="4353" width="8.6640625" style="1"/>
    <col min="4354" max="4354" width="19.44140625" style="1" bestFit="1" customWidth="1"/>
    <col min="4355" max="4355" width="3.33203125" style="1" customWidth="1"/>
    <col min="4356" max="4356" width="17.6640625" style="1" customWidth="1"/>
    <col min="4357" max="4357" width="3.33203125" style="1" customWidth="1"/>
    <col min="4358" max="4358" width="17.6640625" style="1" customWidth="1"/>
    <col min="4359" max="4359" width="3.33203125" style="1" customWidth="1"/>
    <col min="4360" max="4360" width="17.6640625" style="1" customWidth="1"/>
    <col min="4361" max="4609" width="8.6640625" style="1"/>
    <col min="4610" max="4610" width="19.44140625" style="1" bestFit="1" customWidth="1"/>
    <col min="4611" max="4611" width="3.33203125" style="1" customWidth="1"/>
    <col min="4612" max="4612" width="17.6640625" style="1" customWidth="1"/>
    <col min="4613" max="4613" width="3.33203125" style="1" customWidth="1"/>
    <col min="4614" max="4614" width="17.6640625" style="1" customWidth="1"/>
    <col min="4615" max="4615" width="3.33203125" style="1" customWidth="1"/>
    <col min="4616" max="4616" width="17.6640625" style="1" customWidth="1"/>
    <col min="4617" max="4865" width="8.6640625" style="1"/>
    <col min="4866" max="4866" width="19.44140625" style="1" bestFit="1" customWidth="1"/>
    <col min="4867" max="4867" width="3.33203125" style="1" customWidth="1"/>
    <col min="4868" max="4868" width="17.6640625" style="1" customWidth="1"/>
    <col min="4869" max="4869" width="3.33203125" style="1" customWidth="1"/>
    <col min="4870" max="4870" width="17.6640625" style="1" customWidth="1"/>
    <col min="4871" max="4871" width="3.33203125" style="1" customWidth="1"/>
    <col min="4872" max="4872" width="17.6640625" style="1" customWidth="1"/>
    <col min="4873" max="5121" width="8.6640625" style="1"/>
    <col min="5122" max="5122" width="19.44140625" style="1" bestFit="1" customWidth="1"/>
    <col min="5123" max="5123" width="3.33203125" style="1" customWidth="1"/>
    <col min="5124" max="5124" width="17.6640625" style="1" customWidth="1"/>
    <col min="5125" max="5125" width="3.33203125" style="1" customWidth="1"/>
    <col min="5126" max="5126" width="17.6640625" style="1" customWidth="1"/>
    <col min="5127" max="5127" width="3.33203125" style="1" customWidth="1"/>
    <col min="5128" max="5128" width="17.6640625" style="1" customWidth="1"/>
    <col min="5129" max="5377" width="8.6640625" style="1"/>
    <col min="5378" max="5378" width="19.44140625" style="1" bestFit="1" customWidth="1"/>
    <col min="5379" max="5379" width="3.33203125" style="1" customWidth="1"/>
    <col min="5380" max="5380" width="17.6640625" style="1" customWidth="1"/>
    <col min="5381" max="5381" width="3.33203125" style="1" customWidth="1"/>
    <col min="5382" max="5382" width="17.6640625" style="1" customWidth="1"/>
    <col min="5383" max="5383" width="3.33203125" style="1" customWidth="1"/>
    <col min="5384" max="5384" width="17.6640625" style="1" customWidth="1"/>
    <col min="5385" max="5633" width="8.6640625" style="1"/>
    <col min="5634" max="5634" width="19.44140625" style="1" bestFit="1" customWidth="1"/>
    <col min="5635" max="5635" width="3.33203125" style="1" customWidth="1"/>
    <col min="5636" max="5636" width="17.6640625" style="1" customWidth="1"/>
    <col min="5637" max="5637" width="3.33203125" style="1" customWidth="1"/>
    <col min="5638" max="5638" width="17.6640625" style="1" customWidth="1"/>
    <col min="5639" max="5639" width="3.33203125" style="1" customWidth="1"/>
    <col min="5640" max="5640" width="17.6640625" style="1" customWidth="1"/>
    <col min="5641" max="5889" width="8.6640625" style="1"/>
    <col min="5890" max="5890" width="19.44140625" style="1" bestFit="1" customWidth="1"/>
    <col min="5891" max="5891" width="3.33203125" style="1" customWidth="1"/>
    <col min="5892" max="5892" width="17.6640625" style="1" customWidth="1"/>
    <col min="5893" max="5893" width="3.33203125" style="1" customWidth="1"/>
    <col min="5894" max="5894" width="17.6640625" style="1" customWidth="1"/>
    <col min="5895" max="5895" width="3.33203125" style="1" customWidth="1"/>
    <col min="5896" max="5896" width="17.6640625" style="1" customWidth="1"/>
    <col min="5897" max="6145" width="8.6640625" style="1"/>
    <col min="6146" max="6146" width="19.44140625" style="1" bestFit="1" customWidth="1"/>
    <col min="6147" max="6147" width="3.33203125" style="1" customWidth="1"/>
    <col min="6148" max="6148" width="17.6640625" style="1" customWidth="1"/>
    <col min="6149" max="6149" width="3.33203125" style="1" customWidth="1"/>
    <col min="6150" max="6150" width="17.6640625" style="1" customWidth="1"/>
    <col min="6151" max="6151" width="3.33203125" style="1" customWidth="1"/>
    <col min="6152" max="6152" width="17.6640625" style="1" customWidth="1"/>
    <col min="6153" max="6401" width="8.6640625" style="1"/>
    <col min="6402" max="6402" width="19.44140625" style="1" bestFit="1" customWidth="1"/>
    <col min="6403" max="6403" width="3.33203125" style="1" customWidth="1"/>
    <col min="6404" max="6404" width="17.6640625" style="1" customWidth="1"/>
    <col min="6405" max="6405" width="3.33203125" style="1" customWidth="1"/>
    <col min="6406" max="6406" width="17.6640625" style="1" customWidth="1"/>
    <col min="6407" max="6407" width="3.33203125" style="1" customWidth="1"/>
    <col min="6408" max="6408" width="17.6640625" style="1" customWidth="1"/>
    <col min="6409" max="6657" width="8.6640625" style="1"/>
    <col min="6658" max="6658" width="19.44140625" style="1" bestFit="1" customWidth="1"/>
    <col min="6659" max="6659" width="3.33203125" style="1" customWidth="1"/>
    <col min="6660" max="6660" width="17.6640625" style="1" customWidth="1"/>
    <col min="6661" max="6661" width="3.33203125" style="1" customWidth="1"/>
    <col min="6662" max="6662" width="17.6640625" style="1" customWidth="1"/>
    <col min="6663" max="6663" width="3.33203125" style="1" customWidth="1"/>
    <col min="6664" max="6664" width="17.6640625" style="1" customWidth="1"/>
    <col min="6665" max="6913" width="8.6640625" style="1"/>
    <col min="6914" max="6914" width="19.44140625" style="1" bestFit="1" customWidth="1"/>
    <col min="6915" max="6915" width="3.33203125" style="1" customWidth="1"/>
    <col min="6916" max="6916" width="17.6640625" style="1" customWidth="1"/>
    <col min="6917" max="6917" width="3.33203125" style="1" customWidth="1"/>
    <col min="6918" max="6918" width="17.6640625" style="1" customWidth="1"/>
    <col min="6919" max="6919" width="3.33203125" style="1" customWidth="1"/>
    <col min="6920" max="6920" width="17.6640625" style="1" customWidth="1"/>
    <col min="6921" max="7169" width="8.6640625" style="1"/>
    <col min="7170" max="7170" width="19.44140625" style="1" bestFit="1" customWidth="1"/>
    <col min="7171" max="7171" width="3.33203125" style="1" customWidth="1"/>
    <col min="7172" max="7172" width="17.6640625" style="1" customWidth="1"/>
    <col min="7173" max="7173" width="3.33203125" style="1" customWidth="1"/>
    <col min="7174" max="7174" width="17.6640625" style="1" customWidth="1"/>
    <col min="7175" max="7175" width="3.33203125" style="1" customWidth="1"/>
    <col min="7176" max="7176" width="17.6640625" style="1" customWidth="1"/>
    <col min="7177" max="7425" width="8.6640625" style="1"/>
    <col min="7426" max="7426" width="19.44140625" style="1" bestFit="1" customWidth="1"/>
    <col min="7427" max="7427" width="3.33203125" style="1" customWidth="1"/>
    <col min="7428" max="7428" width="17.6640625" style="1" customWidth="1"/>
    <col min="7429" max="7429" width="3.33203125" style="1" customWidth="1"/>
    <col min="7430" max="7430" width="17.6640625" style="1" customWidth="1"/>
    <col min="7431" max="7431" width="3.33203125" style="1" customWidth="1"/>
    <col min="7432" max="7432" width="17.6640625" style="1" customWidth="1"/>
    <col min="7433" max="7681" width="8.6640625" style="1"/>
    <col min="7682" max="7682" width="19.44140625" style="1" bestFit="1" customWidth="1"/>
    <col min="7683" max="7683" width="3.33203125" style="1" customWidth="1"/>
    <col min="7684" max="7684" width="17.6640625" style="1" customWidth="1"/>
    <col min="7685" max="7685" width="3.33203125" style="1" customWidth="1"/>
    <col min="7686" max="7686" width="17.6640625" style="1" customWidth="1"/>
    <col min="7687" max="7687" width="3.33203125" style="1" customWidth="1"/>
    <col min="7688" max="7688" width="17.6640625" style="1" customWidth="1"/>
    <col min="7689" max="7937" width="8.6640625" style="1"/>
    <col min="7938" max="7938" width="19.44140625" style="1" bestFit="1" customWidth="1"/>
    <col min="7939" max="7939" width="3.33203125" style="1" customWidth="1"/>
    <col min="7940" max="7940" width="17.6640625" style="1" customWidth="1"/>
    <col min="7941" max="7941" width="3.33203125" style="1" customWidth="1"/>
    <col min="7942" max="7942" width="17.6640625" style="1" customWidth="1"/>
    <col min="7943" max="7943" width="3.33203125" style="1" customWidth="1"/>
    <col min="7944" max="7944" width="17.6640625" style="1" customWidth="1"/>
    <col min="7945" max="8193" width="8.6640625" style="1"/>
    <col min="8194" max="8194" width="19.44140625" style="1" bestFit="1" customWidth="1"/>
    <col min="8195" max="8195" width="3.33203125" style="1" customWidth="1"/>
    <col min="8196" max="8196" width="17.6640625" style="1" customWidth="1"/>
    <col min="8197" max="8197" width="3.33203125" style="1" customWidth="1"/>
    <col min="8198" max="8198" width="17.6640625" style="1" customWidth="1"/>
    <col min="8199" max="8199" width="3.33203125" style="1" customWidth="1"/>
    <col min="8200" max="8200" width="17.6640625" style="1" customWidth="1"/>
    <col min="8201" max="8449" width="8.6640625" style="1"/>
    <col min="8450" max="8450" width="19.44140625" style="1" bestFit="1" customWidth="1"/>
    <col min="8451" max="8451" width="3.33203125" style="1" customWidth="1"/>
    <col min="8452" max="8452" width="17.6640625" style="1" customWidth="1"/>
    <col min="8453" max="8453" width="3.33203125" style="1" customWidth="1"/>
    <col min="8454" max="8454" width="17.6640625" style="1" customWidth="1"/>
    <col min="8455" max="8455" width="3.33203125" style="1" customWidth="1"/>
    <col min="8456" max="8456" width="17.6640625" style="1" customWidth="1"/>
    <col min="8457" max="8705" width="8.6640625" style="1"/>
    <col min="8706" max="8706" width="19.44140625" style="1" bestFit="1" customWidth="1"/>
    <col min="8707" max="8707" width="3.33203125" style="1" customWidth="1"/>
    <col min="8708" max="8708" width="17.6640625" style="1" customWidth="1"/>
    <col min="8709" max="8709" width="3.33203125" style="1" customWidth="1"/>
    <col min="8710" max="8710" width="17.6640625" style="1" customWidth="1"/>
    <col min="8711" max="8711" width="3.33203125" style="1" customWidth="1"/>
    <col min="8712" max="8712" width="17.6640625" style="1" customWidth="1"/>
    <col min="8713" max="8961" width="8.6640625" style="1"/>
    <col min="8962" max="8962" width="19.44140625" style="1" bestFit="1" customWidth="1"/>
    <col min="8963" max="8963" width="3.33203125" style="1" customWidth="1"/>
    <col min="8964" max="8964" width="17.6640625" style="1" customWidth="1"/>
    <col min="8965" max="8965" width="3.33203125" style="1" customWidth="1"/>
    <col min="8966" max="8966" width="17.6640625" style="1" customWidth="1"/>
    <col min="8967" max="8967" width="3.33203125" style="1" customWidth="1"/>
    <col min="8968" max="8968" width="17.6640625" style="1" customWidth="1"/>
    <col min="8969" max="9217" width="8.6640625" style="1"/>
    <col min="9218" max="9218" width="19.44140625" style="1" bestFit="1" customWidth="1"/>
    <col min="9219" max="9219" width="3.33203125" style="1" customWidth="1"/>
    <col min="9220" max="9220" width="17.6640625" style="1" customWidth="1"/>
    <col min="9221" max="9221" width="3.33203125" style="1" customWidth="1"/>
    <col min="9222" max="9222" width="17.6640625" style="1" customWidth="1"/>
    <col min="9223" max="9223" width="3.33203125" style="1" customWidth="1"/>
    <col min="9224" max="9224" width="17.6640625" style="1" customWidth="1"/>
    <col min="9225" max="9473" width="8.6640625" style="1"/>
    <col min="9474" max="9474" width="19.44140625" style="1" bestFit="1" customWidth="1"/>
    <col min="9475" max="9475" width="3.33203125" style="1" customWidth="1"/>
    <col min="9476" max="9476" width="17.6640625" style="1" customWidth="1"/>
    <col min="9477" max="9477" width="3.33203125" style="1" customWidth="1"/>
    <col min="9478" max="9478" width="17.6640625" style="1" customWidth="1"/>
    <col min="9479" max="9479" width="3.33203125" style="1" customWidth="1"/>
    <col min="9480" max="9480" width="17.6640625" style="1" customWidth="1"/>
    <col min="9481" max="9729" width="8.6640625" style="1"/>
    <col min="9730" max="9730" width="19.44140625" style="1" bestFit="1" customWidth="1"/>
    <col min="9731" max="9731" width="3.33203125" style="1" customWidth="1"/>
    <col min="9732" max="9732" width="17.6640625" style="1" customWidth="1"/>
    <col min="9733" max="9733" width="3.33203125" style="1" customWidth="1"/>
    <col min="9734" max="9734" width="17.6640625" style="1" customWidth="1"/>
    <col min="9735" max="9735" width="3.33203125" style="1" customWidth="1"/>
    <col min="9736" max="9736" width="17.6640625" style="1" customWidth="1"/>
    <col min="9737" max="9985" width="8.6640625" style="1"/>
    <col min="9986" max="9986" width="19.44140625" style="1" bestFit="1" customWidth="1"/>
    <col min="9987" max="9987" width="3.33203125" style="1" customWidth="1"/>
    <col min="9988" max="9988" width="17.6640625" style="1" customWidth="1"/>
    <col min="9989" max="9989" width="3.33203125" style="1" customWidth="1"/>
    <col min="9990" max="9990" width="17.6640625" style="1" customWidth="1"/>
    <col min="9991" max="9991" width="3.33203125" style="1" customWidth="1"/>
    <col min="9992" max="9992" width="17.6640625" style="1" customWidth="1"/>
    <col min="9993" max="10241" width="8.6640625" style="1"/>
    <col min="10242" max="10242" width="19.44140625" style="1" bestFit="1" customWidth="1"/>
    <col min="10243" max="10243" width="3.33203125" style="1" customWidth="1"/>
    <col min="10244" max="10244" width="17.6640625" style="1" customWidth="1"/>
    <col min="10245" max="10245" width="3.33203125" style="1" customWidth="1"/>
    <col min="10246" max="10246" width="17.6640625" style="1" customWidth="1"/>
    <col min="10247" max="10247" width="3.33203125" style="1" customWidth="1"/>
    <col min="10248" max="10248" width="17.6640625" style="1" customWidth="1"/>
    <col min="10249" max="10497" width="8.6640625" style="1"/>
    <col min="10498" max="10498" width="19.44140625" style="1" bestFit="1" customWidth="1"/>
    <col min="10499" max="10499" width="3.33203125" style="1" customWidth="1"/>
    <col min="10500" max="10500" width="17.6640625" style="1" customWidth="1"/>
    <col min="10501" max="10501" width="3.33203125" style="1" customWidth="1"/>
    <col min="10502" max="10502" width="17.6640625" style="1" customWidth="1"/>
    <col min="10503" max="10503" width="3.33203125" style="1" customWidth="1"/>
    <col min="10504" max="10504" width="17.6640625" style="1" customWidth="1"/>
    <col min="10505" max="10753" width="8.6640625" style="1"/>
    <col min="10754" max="10754" width="19.44140625" style="1" bestFit="1" customWidth="1"/>
    <col min="10755" max="10755" width="3.33203125" style="1" customWidth="1"/>
    <col min="10756" max="10756" width="17.6640625" style="1" customWidth="1"/>
    <col min="10757" max="10757" width="3.33203125" style="1" customWidth="1"/>
    <col min="10758" max="10758" width="17.6640625" style="1" customWidth="1"/>
    <col min="10759" max="10759" width="3.33203125" style="1" customWidth="1"/>
    <col min="10760" max="10760" width="17.6640625" style="1" customWidth="1"/>
    <col min="10761" max="11009" width="8.6640625" style="1"/>
    <col min="11010" max="11010" width="19.44140625" style="1" bestFit="1" customWidth="1"/>
    <col min="11011" max="11011" width="3.33203125" style="1" customWidth="1"/>
    <col min="11012" max="11012" width="17.6640625" style="1" customWidth="1"/>
    <col min="11013" max="11013" width="3.33203125" style="1" customWidth="1"/>
    <col min="11014" max="11014" width="17.6640625" style="1" customWidth="1"/>
    <col min="11015" max="11015" width="3.33203125" style="1" customWidth="1"/>
    <col min="11016" max="11016" width="17.6640625" style="1" customWidth="1"/>
    <col min="11017" max="11265" width="8.6640625" style="1"/>
    <col min="11266" max="11266" width="19.44140625" style="1" bestFit="1" customWidth="1"/>
    <col min="11267" max="11267" width="3.33203125" style="1" customWidth="1"/>
    <col min="11268" max="11268" width="17.6640625" style="1" customWidth="1"/>
    <col min="11269" max="11269" width="3.33203125" style="1" customWidth="1"/>
    <col min="11270" max="11270" width="17.6640625" style="1" customWidth="1"/>
    <col min="11271" max="11271" width="3.33203125" style="1" customWidth="1"/>
    <col min="11272" max="11272" width="17.6640625" style="1" customWidth="1"/>
    <col min="11273" max="11521" width="8.6640625" style="1"/>
    <col min="11522" max="11522" width="19.44140625" style="1" bestFit="1" customWidth="1"/>
    <col min="11523" max="11523" width="3.33203125" style="1" customWidth="1"/>
    <col min="11524" max="11524" width="17.6640625" style="1" customWidth="1"/>
    <col min="11525" max="11525" width="3.33203125" style="1" customWidth="1"/>
    <col min="11526" max="11526" width="17.6640625" style="1" customWidth="1"/>
    <col min="11527" max="11527" width="3.33203125" style="1" customWidth="1"/>
    <col min="11528" max="11528" width="17.6640625" style="1" customWidth="1"/>
    <col min="11529" max="11777" width="8.6640625" style="1"/>
    <col min="11778" max="11778" width="19.44140625" style="1" bestFit="1" customWidth="1"/>
    <col min="11779" max="11779" width="3.33203125" style="1" customWidth="1"/>
    <col min="11780" max="11780" width="17.6640625" style="1" customWidth="1"/>
    <col min="11781" max="11781" width="3.33203125" style="1" customWidth="1"/>
    <col min="11782" max="11782" width="17.6640625" style="1" customWidth="1"/>
    <col min="11783" max="11783" width="3.33203125" style="1" customWidth="1"/>
    <col min="11784" max="11784" width="17.6640625" style="1" customWidth="1"/>
    <col min="11785" max="12033" width="8.6640625" style="1"/>
    <col min="12034" max="12034" width="19.44140625" style="1" bestFit="1" customWidth="1"/>
    <col min="12035" max="12035" width="3.33203125" style="1" customWidth="1"/>
    <col min="12036" max="12036" width="17.6640625" style="1" customWidth="1"/>
    <col min="12037" max="12037" width="3.33203125" style="1" customWidth="1"/>
    <col min="12038" max="12038" width="17.6640625" style="1" customWidth="1"/>
    <col min="12039" max="12039" width="3.33203125" style="1" customWidth="1"/>
    <col min="12040" max="12040" width="17.6640625" style="1" customWidth="1"/>
    <col min="12041" max="12289" width="8.6640625" style="1"/>
    <col min="12290" max="12290" width="19.44140625" style="1" bestFit="1" customWidth="1"/>
    <col min="12291" max="12291" width="3.33203125" style="1" customWidth="1"/>
    <col min="12292" max="12292" width="17.6640625" style="1" customWidth="1"/>
    <col min="12293" max="12293" width="3.33203125" style="1" customWidth="1"/>
    <col min="12294" max="12294" width="17.6640625" style="1" customWidth="1"/>
    <col min="12295" max="12295" width="3.33203125" style="1" customWidth="1"/>
    <col min="12296" max="12296" width="17.6640625" style="1" customWidth="1"/>
    <col min="12297" max="12545" width="8.6640625" style="1"/>
    <col min="12546" max="12546" width="19.44140625" style="1" bestFit="1" customWidth="1"/>
    <col min="12547" max="12547" width="3.33203125" style="1" customWidth="1"/>
    <col min="12548" max="12548" width="17.6640625" style="1" customWidth="1"/>
    <col min="12549" max="12549" width="3.33203125" style="1" customWidth="1"/>
    <col min="12550" max="12550" width="17.6640625" style="1" customWidth="1"/>
    <col min="12551" max="12551" width="3.33203125" style="1" customWidth="1"/>
    <col min="12552" max="12552" width="17.6640625" style="1" customWidth="1"/>
    <col min="12553" max="12801" width="8.6640625" style="1"/>
    <col min="12802" max="12802" width="19.44140625" style="1" bestFit="1" customWidth="1"/>
    <col min="12803" max="12803" width="3.33203125" style="1" customWidth="1"/>
    <col min="12804" max="12804" width="17.6640625" style="1" customWidth="1"/>
    <col min="12805" max="12805" width="3.33203125" style="1" customWidth="1"/>
    <col min="12806" max="12806" width="17.6640625" style="1" customWidth="1"/>
    <col min="12807" max="12807" width="3.33203125" style="1" customWidth="1"/>
    <col min="12808" max="12808" width="17.6640625" style="1" customWidth="1"/>
    <col min="12809" max="13057" width="8.6640625" style="1"/>
    <col min="13058" max="13058" width="19.44140625" style="1" bestFit="1" customWidth="1"/>
    <col min="13059" max="13059" width="3.33203125" style="1" customWidth="1"/>
    <col min="13060" max="13060" width="17.6640625" style="1" customWidth="1"/>
    <col min="13061" max="13061" width="3.33203125" style="1" customWidth="1"/>
    <col min="13062" max="13062" width="17.6640625" style="1" customWidth="1"/>
    <col min="13063" max="13063" width="3.33203125" style="1" customWidth="1"/>
    <col min="13064" max="13064" width="17.6640625" style="1" customWidth="1"/>
    <col min="13065" max="13313" width="8.6640625" style="1"/>
    <col min="13314" max="13314" width="19.44140625" style="1" bestFit="1" customWidth="1"/>
    <col min="13315" max="13315" width="3.33203125" style="1" customWidth="1"/>
    <col min="13316" max="13316" width="17.6640625" style="1" customWidth="1"/>
    <col min="13317" max="13317" width="3.33203125" style="1" customWidth="1"/>
    <col min="13318" max="13318" width="17.6640625" style="1" customWidth="1"/>
    <col min="13319" max="13319" width="3.33203125" style="1" customWidth="1"/>
    <col min="13320" max="13320" width="17.6640625" style="1" customWidth="1"/>
    <col min="13321" max="13569" width="8.6640625" style="1"/>
    <col min="13570" max="13570" width="19.44140625" style="1" bestFit="1" customWidth="1"/>
    <col min="13571" max="13571" width="3.33203125" style="1" customWidth="1"/>
    <col min="13572" max="13572" width="17.6640625" style="1" customWidth="1"/>
    <col min="13573" max="13573" width="3.33203125" style="1" customWidth="1"/>
    <col min="13574" max="13574" width="17.6640625" style="1" customWidth="1"/>
    <col min="13575" max="13575" width="3.33203125" style="1" customWidth="1"/>
    <col min="13576" max="13576" width="17.6640625" style="1" customWidth="1"/>
    <col min="13577" max="13825" width="8.6640625" style="1"/>
    <col min="13826" max="13826" width="19.44140625" style="1" bestFit="1" customWidth="1"/>
    <col min="13827" max="13827" width="3.33203125" style="1" customWidth="1"/>
    <col min="13828" max="13828" width="17.6640625" style="1" customWidth="1"/>
    <col min="13829" max="13829" width="3.33203125" style="1" customWidth="1"/>
    <col min="13830" max="13830" width="17.6640625" style="1" customWidth="1"/>
    <col min="13831" max="13831" width="3.33203125" style="1" customWidth="1"/>
    <col min="13832" max="13832" width="17.6640625" style="1" customWidth="1"/>
    <col min="13833" max="14081" width="8.6640625" style="1"/>
    <col min="14082" max="14082" width="19.44140625" style="1" bestFit="1" customWidth="1"/>
    <col min="14083" max="14083" width="3.33203125" style="1" customWidth="1"/>
    <col min="14084" max="14084" width="17.6640625" style="1" customWidth="1"/>
    <col min="14085" max="14085" width="3.33203125" style="1" customWidth="1"/>
    <col min="14086" max="14086" width="17.6640625" style="1" customWidth="1"/>
    <col min="14087" max="14087" width="3.33203125" style="1" customWidth="1"/>
    <col min="14088" max="14088" width="17.6640625" style="1" customWidth="1"/>
    <col min="14089" max="14337" width="8.6640625" style="1"/>
    <col min="14338" max="14338" width="19.44140625" style="1" bestFit="1" customWidth="1"/>
    <col min="14339" max="14339" width="3.33203125" style="1" customWidth="1"/>
    <col min="14340" max="14340" width="17.6640625" style="1" customWidth="1"/>
    <col min="14341" max="14341" width="3.33203125" style="1" customWidth="1"/>
    <col min="14342" max="14342" width="17.6640625" style="1" customWidth="1"/>
    <col min="14343" max="14343" width="3.33203125" style="1" customWidth="1"/>
    <col min="14344" max="14344" width="17.6640625" style="1" customWidth="1"/>
    <col min="14345" max="14593" width="8.6640625" style="1"/>
    <col min="14594" max="14594" width="19.44140625" style="1" bestFit="1" customWidth="1"/>
    <col min="14595" max="14595" width="3.33203125" style="1" customWidth="1"/>
    <col min="14596" max="14596" width="17.6640625" style="1" customWidth="1"/>
    <col min="14597" max="14597" width="3.33203125" style="1" customWidth="1"/>
    <col min="14598" max="14598" width="17.6640625" style="1" customWidth="1"/>
    <col min="14599" max="14599" width="3.33203125" style="1" customWidth="1"/>
    <col min="14600" max="14600" width="17.6640625" style="1" customWidth="1"/>
    <col min="14601" max="14849" width="8.6640625" style="1"/>
    <col min="14850" max="14850" width="19.44140625" style="1" bestFit="1" customWidth="1"/>
    <col min="14851" max="14851" width="3.33203125" style="1" customWidth="1"/>
    <col min="14852" max="14852" width="17.6640625" style="1" customWidth="1"/>
    <col min="14853" max="14853" width="3.33203125" style="1" customWidth="1"/>
    <col min="14854" max="14854" width="17.6640625" style="1" customWidth="1"/>
    <col min="14855" max="14855" width="3.33203125" style="1" customWidth="1"/>
    <col min="14856" max="14856" width="17.6640625" style="1" customWidth="1"/>
    <col min="14857" max="15105" width="8.6640625" style="1"/>
    <col min="15106" max="15106" width="19.44140625" style="1" bestFit="1" customWidth="1"/>
    <col min="15107" max="15107" width="3.33203125" style="1" customWidth="1"/>
    <col min="15108" max="15108" width="17.6640625" style="1" customWidth="1"/>
    <col min="15109" max="15109" width="3.33203125" style="1" customWidth="1"/>
    <col min="15110" max="15110" width="17.6640625" style="1" customWidth="1"/>
    <col min="15111" max="15111" width="3.33203125" style="1" customWidth="1"/>
    <col min="15112" max="15112" width="17.6640625" style="1" customWidth="1"/>
    <col min="15113" max="15361" width="8.6640625" style="1"/>
    <col min="15362" max="15362" width="19.44140625" style="1" bestFit="1" customWidth="1"/>
    <col min="15363" max="15363" width="3.33203125" style="1" customWidth="1"/>
    <col min="15364" max="15364" width="17.6640625" style="1" customWidth="1"/>
    <col min="15365" max="15365" width="3.33203125" style="1" customWidth="1"/>
    <col min="15366" max="15366" width="17.6640625" style="1" customWidth="1"/>
    <col min="15367" max="15367" width="3.33203125" style="1" customWidth="1"/>
    <col min="15368" max="15368" width="17.6640625" style="1" customWidth="1"/>
    <col min="15369" max="15617" width="8.6640625" style="1"/>
    <col min="15618" max="15618" width="19.44140625" style="1" bestFit="1" customWidth="1"/>
    <col min="15619" max="15619" width="3.33203125" style="1" customWidth="1"/>
    <col min="15620" max="15620" width="17.6640625" style="1" customWidth="1"/>
    <col min="15621" max="15621" width="3.33203125" style="1" customWidth="1"/>
    <col min="15622" max="15622" width="17.6640625" style="1" customWidth="1"/>
    <col min="15623" max="15623" width="3.33203125" style="1" customWidth="1"/>
    <col min="15624" max="15624" width="17.6640625" style="1" customWidth="1"/>
    <col min="15625" max="15873" width="8.6640625" style="1"/>
    <col min="15874" max="15874" width="19.44140625" style="1" bestFit="1" customWidth="1"/>
    <col min="15875" max="15875" width="3.33203125" style="1" customWidth="1"/>
    <col min="15876" max="15876" width="17.6640625" style="1" customWidth="1"/>
    <col min="15877" max="15877" width="3.33203125" style="1" customWidth="1"/>
    <col min="15878" max="15878" width="17.6640625" style="1" customWidth="1"/>
    <col min="15879" max="15879" width="3.33203125" style="1" customWidth="1"/>
    <col min="15880" max="15880" width="17.6640625" style="1" customWidth="1"/>
    <col min="15881" max="16129" width="8.6640625" style="1"/>
    <col min="16130" max="16130" width="19.44140625" style="1" bestFit="1" customWidth="1"/>
    <col min="16131" max="16131" width="3.33203125" style="1" customWidth="1"/>
    <col min="16132" max="16132" width="17.6640625" style="1" customWidth="1"/>
    <col min="16133" max="16133" width="3.33203125" style="1" customWidth="1"/>
    <col min="16134" max="16134" width="17.6640625" style="1" customWidth="1"/>
    <col min="16135" max="16135" width="3.33203125" style="1" customWidth="1"/>
    <col min="16136" max="16136" width="17.6640625" style="1" customWidth="1"/>
    <col min="16137" max="16384" width="8.6640625" style="1"/>
  </cols>
  <sheetData>
    <row r="1" spans="1:16" ht="17.399999999999999" x14ac:dyDescent="0.3">
      <c r="B1" s="130" t="str">
        <f>Format!A1</f>
        <v>GARDEN EMPIRE VOLLEYBALL ASSOCIATION</v>
      </c>
      <c r="C1" s="130"/>
      <c r="D1" s="130"/>
      <c r="E1" s="130"/>
      <c r="F1" s="130"/>
      <c r="G1" s="130"/>
      <c r="H1" s="130"/>
    </row>
    <row r="2" spans="1:16" ht="15" x14ac:dyDescent="0.25">
      <c r="B2" s="131" t="str">
        <f>Format!A3</f>
        <v>0122 Downstate 14 Club #1 @Somers</v>
      </c>
      <c r="C2" s="131"/>
      <c r="D2" s="131"/>
      <c r="E2" s="131"/>
      <c r="F2" s="131"/>
      <c r="G2" s="131"/>
      <c r="H2" s="131"/>
    </row>
    <row r="3" spans="1:16" ht="15" x14ac:dyDescent="0.25">
      <c r="B3" s="132">
        <f>Format!A5</f>
        <v>44948</v>
      </c>
      <c r="C3" s="132"/>
      <c r="D3" s="132"/>
      <c r="E3" s="132"/>
      <c r="F3" s="132"/>
      <c r="G3" s="132"/>
      <c r="H3" s="132"/>
    </row>
    <row r="4" spans="1:16" ht="15" x14ac:dyDescent="0.25">
      <c r="B4" s="2"/>
      <c r="C4" s="2"/>
      <c r="D4" s="3"/>
      <c r="E4" s="3"/>
      <c r="F4" s="3"/>
      <c r="G4" s="3"/>
      <c r="H4" s="3"/>
    </row>
    <row r="5" spans="1:16" ht="15" x14ac:dyDescent="0.25">
      <c r="B5" s="133" t="s">
        <v>1</v>
      </c>
      <c r="C5" s="133"/>
      <c r="D5" s="133"/>
      <c r="E5" s="133"/>
      <c r="F5" s="133"/>
      <c r="G5" s="133"/>
      <c r="H5" s="133"/>
    </row>
    <row r="6" spans="1:16" ht="15" x14ac:dyDescent="0.25">
      <c r="B6" s="2"/>
      <c r="C6" s="2"/>
      <c r="D6" s="3"/>
      <c r="E6" s="3"/>
      <c r="F6" s="3"/>
      <c r="G6" s="3"/>
      <c r="H6" s="3"/>
    </row>
    <row r="7" spans="1:16" ht="341.55" customHeight="1" x14ac:dyDescent="0.25">
      <c r="B7" s="134" t="s">
        <v>108</v>
      </c>
      <c r="C7" s="135"/>
      <c r="D7" s="135"/>
      <c r="E7" s="135"/>
      <c r="F7" s="135"/>
      <c r="G7" s="135"/>
      <c r="H7" s="136"/>
    </row>
    <row r="8" spans="1:16" s="8" customFormat="1" ht="30" customHeight="1" x14ac:dyDescent="0.25">
      <c r="A8" s="84" t="s">
        <v>65</v>
      </c>
      <c r="B8" s="4" t="s">
        <v>2</v>
      </c>
      <c r="C8" s="5"/>
      <c r="D8" s="6" t="s">
        <v>3</v>
      </c>
      <c r="E8" s="7"/>
      <c r="F8" s="6" t="s">
        <v>4</v>
      </c>
      <c r="G8" s="7"/>
      <c r="H8" s="6" t="s">
        <v>5</v>
      </c>
    </row>
    <row r="9" spans="1:16" ht="30" customHeight="1" x14ac:dyDescent="0.25">
      <c r="A9" s="11">
        <v>1</v>
      </c>
      <c r="B9" s="9" t="str">
        <f>VLOOKUP(A9,$I$9:$J$12,2,FALSE)</f>
        <v>Downstate 14 Blue</v>
      </c>
      <c r="C9" s="2"/>
      <c r="D9" s="3"/>
      <c r="E9" s="3"/>
      <c r="F9" s="3"/>
      <c r="G9" s="3"/>
      <c r="H9" s="3"/>
      <c r="I9" s="1">
        <f>COUNTIF($J$9:$J$12,"&lt;="&amp;J9)</f>
        <v>2</v>
      </c>
      <c r="J9" s="1" t="str">
        <f>Teams!B2</f>
        <v>Downstate 14 White</v>
      </c>
      <c r="K9" s="129" t="s">
        <v>64</v>
      </c>
      <c r="L9" s="129"/>
      <c r="M9" s="129"/>
      <c r="N9" s="129"/>
      <c r="O9" s="129"/>
      <c r="P9" s="129"/>
    </row>
    <row r="10" spans="1:16" ht="30" customHeight="1" x14ac:dyDescent="0.25">
      <c r="A10" s="11">
        <v>2</v>
      </c>
      <c r="B10" s="9" t="str">
        <f>VLOOKUP(A10,$I$9:$J$12,2,FALSE)</f>
        <v>Downstate 14 White</v>
      </c>
      <c r="C10" s="2"/>
      <c r="D10" s="3"/>
      <c r="E10" s="3"/>
      <c r="F10" s="3"/>
      <c r="G10" s="3"/>
      <c r="H10" s="3"/>
      <c r="I10" s="1">
        <f>COUNTIF($J$9:$J$12,"&lt;="&amp;J10)</f>
        <v>1</v>
      </c>
      <c r="J10" s="1" t="str">
        <f>Teams!B3</f>
        <v>Downstate 14 Blue</v>
      </c>
    </row>
    <row r="11" spans="1:16" ht="30" customHeight="1" x14ac:dyDescent="0.25">
      <c r="A11" s="11">
        <v>3</v>
      </c>
      <c r="B11" s="9" t="str">
        <f>VLOOKUP(A11,$I$9:$J$12,2,FALSE)</f>
        <v>OC Lady Elite 14 Black</v>
      </c>
      <c r="C11" s="2"/>
      <c r="D11" s="3"/>
      <c r="E11" s="3"/>
      <c r="F11" s="3"/>
      <c r="G11" s="3"/>
      <c r="H11" s="3"/>
      <c r="I11" s="1">
        <f>COUNTIF($J$9:$J$12,"&lt;="&amp;J11)</f>
        <v>3</v>
      </c>
      <c r="J11" s="1" t="str">
        <f>Teams!B4</f>
        <v>OC Lady Elite 14 Black</v>
      </c>
    </row>
    <row r="12" spans="1:16" ht="30" customHeight="1" x14ac:dyDescent="0.25">
      <c r="A12" s="11">
        <v>4</v>
      </c>
      <c r="B12" s="9" t="str">
        <f>VLOOKUP(A12,$I$9:$J$12,2,FALSE)</f>
        <v>Oxygen - 14U</v>
      </c>
      <c r="C12" s="2"/>
      <c r="D12" s="3"/>
      <c r="E12" s="3"/>
      <c r="F12" s="3"/>
      <c r="G12" s="3"/>
      <c r="H12" s="3"/>
      <c r="I12" s="1">
        <f>COUNTIF($J$9:$J$12,"&lt;="&amp;J12)</f>
        <v>4</v>
      </c>
      <c r="J12" s="1" t="str">
        <f>Teams!B5</f>
        <v>Oxygen - 14U</v>
      </c>
    </row>
    <row r="13" spans="1:16" ht="30" customHeight="1" x14ac:dyDescent="0.25">
      <c r="B13" s="9"/>
      <c r="C13" s="2"/>
      <c r="D13" s="3"/>
      <c r="E13" s="3"/>
      <c r="F13" s="3"/>
      <c r="G13" s="3"/>
      <c r="H13" s="3"/>
    </row>
    <row r="14" spans="1:16" ht="30" customHeight="1" x14ac:dyDescent="0.25">
      <c r="B14" s="9"/>
      <c r="C14" s="2"/>
      <c r="D14" s="3"/>
      <c r="E14" s="3"/>
      <c r="F14" s="3"/>
      <c r="G14" s="3"/>
      <c r="H14" s="3"/>
    </row>
    <row r="15" spans="1:16" ht="30" customHeight="1" x14ac:dyDescent="0.25">
      <c r="B15" s="9"/>
      <c r="C15" s="2"/>
      <c r="D15" s="3"/>
      <c r="E15" s="3"/>
      <c r="F15" s="3"/>
      <c r="G15" s="3"/>
      <c r="H15" s="3"/>
    </row>
    <row r="16" spans="1:16" ht="30" customHeight="1" x14ac:dyDescent="0.25">
      <c r="B16" s="9"/>
      <c r="C16" s="2"/>
      <c r="D16" s="3"/>
      <c r="E16" s="3"/>
      <c r="F16" s="3"/>
      <c r="G16" s="3"/>
      <c r="H16" s="3"/>
    </row>
    <row r="17" spans="2:8" ht="30" customHeight="1" x14ac:dyDescent="0.25">
      <c r="B17" s="9"/>
      <c r="C17" s="2"/>
      <c r="D17" s="3"/>
      <c r="E17" s="3"/>
      <c r="F17" s="3"/>
      <c r="G17" s="3"/>
      <c r="H17" s="3"/>
    </row>
    <row r="18" spans="2:8" ht="30" customHeight="1" x14ac:dyDescent="0.25">
      <c r="B18" s="9"/>
      <c r="C18" s="2"/>
      <c r="D18" s="3"/>
      <c r="E18" s="3"/>
      <c r="F18" s="3"/>
      <c r="G18" s="3"/>
      <c r="H18" s="3"/>
    </row>
    <row r="19" spans="2:8" ht="30" customHeight="1" x14ac:dyDescent="0.25">
      <c r="B19" s="10"/>
    </row>
    <row r="20" spans="2:8" ht="30" customHeight="1" x14ac:dyDescent="0.25">
      <c r="B20" s="10"/>
    </row>
    <row r="21" spans="2:8" ht="30" customHeight="1" x14ac:dyDescent="0.25"/>
  </sheetData>
  <sheetProtection sheet="1" objects="1" scenarios="1" selectLockedCells="1" selectUnlockedCells="1"/>
  <mergeCells count="6">
    <mergeCell ref="K9:P9"/>
    <mergeCell ref="B1:H1"/>
    <mergeCell ref="B2:H2"/>
    <mergeCell ref="B3:H3"/>
    <mergeCell ref="B5:H5"/>
    <mergeCell ref="B7:H7"/>
  </mergeCells>
  <conditionalFormatting sqref="B10:H18">
    <cfRule type="expression" dxfId="2" priority="2">
      <formula>MOD(ROW(),2)</formula>
    </cfRule>
  </conditionalFormatting>
  <conditionalFormatting sqref="B9:H9">
    <cfRule type="expression" dxfId="1" priority="1">
      <formula>MOD(ROW(),2)</formula>
    </cfRule>
  </conditionalFormatting>
  <printOptions horizontalCentered="1"/>
  <pageMargins left="0.5" right="0.5" top="0.75" bottom="0.5" header="0.5" footer="0.5"/>
  <pageSetup scale="91"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L70"/>
  <sheetViews>
    <sheetView tabSelected="1" zoomScale="99" zoomScaleNormal="99" zoomScalePageLayoutView="99" workbookViewId="0">
      <selection activeCell="B49" sqref="B49"/>
    </sheetView>
  </sheetViews>
  <sheetFormatPr defaultColWidth="8.6640625" defaultRowHeight="13.2" x14ac:dyDescent="0.25"/>
  <cols>
    <col min="1" max="12" width="7.44140625" style="12" customWidth="1"/>
    <col min="13" max="16384" width="8.6640625" style="12"/>
  </cols>
  <sheetData>
    <row r="1" spans="1:12" ht="17.399999999999999" x14ac:dyDescent="0.3">
      <c r="A1" s="137" t="s">
        <v>0</v>
      </c>
      <c r="B1" s="137"/>
      <c r="C1" s="137"/>
      <c r="D1" s="137"/>
      <c r="E1" s="137"/>
      <c r="F1" s="137"/>
      <c r="G1" s="137"/>
      <c r="H1" s="137"/>
      <c r="I1" s="137"/>
      <c r="J1" s="137"/>
      <c r="K1" s="137"/>
      <c r="L1" s="137"/>
    </row>
    <row r="2" spans="1:12" ht="17.399999999999999" x14ac:dyDescent="0.3">
      <c r="A2" s="111"/>
      <c r="B2" s="111"/>
      <c r="C2" s="111"/>
      <c r="D2" s="111"/>
      <c r="E2" s="111"/>
      <c r="F2" s="111"/>
      <c r="G2" s="111"/>
      <c r="H2" s="111"/>
      <c r="I2" s="111"/>
      <c r="J2" s="111"/>
      <c r="K2" s="111"/>
      <c r="L2" s="111"/>
    </row>
    <row r="3" spans="1:12" ht="15" x14ac:dyDescent="0.25">
      <c r="A3" s="138" t="str">
        <f>Event</f>
        <v>0122 Downstate 14 Club #1 @Somers</v>
      </c>
      <c r="B3" s="138"/>
      <c r="C3" s="138"/>
      <c r="D3" s="138"/>
      <c r="E3" s="138"/>
      <c r="F3" s="138"/>
      <c r="G3" s="138"/>
      <c r="H3" s="138"/>
      <c r="I3" s="138"/>
      <c r="J3" s="138"/>
      <c r="K3" s="138"/>
      <c r="L3" s="138"/>
    </row>
    <row r="4" spans="1:12" ht="15" x14ac:dyDescent="0.25">
      <c r="A4" s="138" t="str">
        <f>Division&amp;" - "&amp;Venue</f>
        <v>14C - Somers Sports Arena</v>
      </c>
      <c r="B4" s="138"/>
      <c r="C4" s="138"/>
      <c r="D4" s="138"/>
      <c r="E4" s="138"/>
      <c r="F4" s="138"/>
      <c r="G4" s="138"/>
      <c r="H4" s="138"/>
      <c r="I4" s="138"/>
      <c r="J4" s="138"/>
      <c r="K4" s="138"/>
      <c r="L4" s="138"/>
    </row>
    <row r="5" spans="1:12" ht="15" x14ac:dyDescent="0.25">
      <c r="A5" s="139">
        <f>tDate</f>
        <v>44948</v>
      </c>
      <c r="B5" s="139"/>
      <c r="C5" s="139"/>
      <c r="D5" s="139"/>
      <c r="E5" s="139"/>
      <c r="F5" s="139"/>
      <c r="G5" s="139"/>
      <c r="H5" s="139"/>
      <c r="I5" s="139"/>
      <c r="J5" s="139"/>
      <c r="K5" s="139"/>
      <c r="L5" s="139"/>
    </row>
    <row r="6" spans="1:12" ht="15" x14ac:dyDescent="0.25">
      <c r="A6" s="112"/>
      <c r="B6" s="112"/>
      <c r="C6" s="112"/>
      <c r="D6" s="112"/>
      <c r="E6" s="112"/>
      <c r="F6" s="112"/>
      <c r="G6" s="112"/>
      <c r="H6" s="112"/>
      <c r="I6" s="112"/>
      <c r="J6" s="112"/>
      <c r="K6" s="112"/>
      <c r="L6" s="112"/>
    </row>
    <row r="7" spans="1:12" x14ac:dyDescent="0.25">
      <c r="A7" s="140" t="str">
        <f>"POOL PLAY (Start at "&amp;StartTime&amp;")"</f>
        <v>POOL PLAY (Start at 9:00a)</v>
      </c>
      <c r="B7" s="140"/>
      <c r="C7" s="140"/>
      <c r="D7" s="140"/>
      <c r="E7" s="140"/>
      <c r="F7" s="140"/>
      <c r="G7" s="140"/>
      <c r="H7" s="140"/>
      <c r="I7" s="140"/>
      <c r="J7" s="140"/>
      <c r="K7" s="140"/>
      <c r="L7" s="140"/>
    </row>
    <row r="8" spans="1:12" ht="12.75" customHeight="1" x14ac:dyDescent="0.25">
      <c r="A8" s="14" t="str">
        <f>Division</f>
        <v>14C</v>
      </c>
      <c r="B8" s="81">
        <f>FirstCt</f>
        <v>1</v>
      </c>
      <c r="C8" s="15" t="str">
        <f>ShortName&amp;" - Pool "&amp;FirstPool</f>
        <v>Somers - Pool A</v>
      </c>
      <c r="D8" s="16"/>
      <c r="E8" s="16"/>
      <c r="F8" s="17"/>
      <c r="G8" s="80"/>
      <c r="H8" s="15"/>
      <c r="I8" s="17"/>
      <c r="J8" s="17"/>
      <c r="K8" s="18"/>
      <c r="L8" s="13"/>
    </row>
    <row r="9" spans="1:12" ht="12.75" customHeight="1" x14ac:dyDescent="0.25">
      <c r="A9" s="13"/>
      <c r="B9" s="19">
        <v>1</v>
      </c>
      <c r="C9" s="13" t="str">
        <f>VLOOKUP(1,Seed,2,FALSE)</f>
        <v>Downstate 14 White</v>
      </c>
      <c r="D9" s="20"/>
      <c r="E9" s="20"/>
      <c r="F9" s="13"/>
      <c r="G9" s="13"/>
      <c r="H9" s="13"/>
      <c r="I9" s="13"/>
      <c r="J9" s="13"/>
      <c r="K9" s="21"/>
      <c r="L9" s="13"/>
    </row>
    <row r="10" spans="1:12" ht="12.75" customHeight="1" x14ac:dyDescent="0.25">
      <c r="A10" s="13"/>
      <c r="B10" s="19">
        <v>2</v>
      </c>
      <c r="C10" s="13" t="str">
        <f>VLOOKUP(2,Seed,2,FALSE)</f>
        <v>Downstate 14 Blue</v>
      </c>
      <c r="D10" s="20"/>
      <c r="E10" s="20"/>
      <c r="F10" s="13"/>
      <c r="G10" s="13"/>
      <c r="H10" s="13"/>
      <c r="I10" s="13"/>
      <c r="J10" s="13"/>
      <c r="K10" s="21"/>
      <c r="L10" s="13"/>
    </row>
    <row r="11" spans="1:12" ht="12.75" customHeight="1" x14ac:dyDescent="0.25">
      <c r="A11" s="13"/>
      <c r="B11" s="19">
        <v>3</v>
      </c>
      <c r="C11" s="13" t="str">
        <f>VLOOKUP(3,Seed,2,FALSE)</f>
        <v>OC Lady Elite 14 Black</v>
      </c>
      <c r="D11" s="20"/>
      <c r="E11" s="20"/>
      <c r="F11" s="13"/>
      <c r="G11" s="13"/>
      <c r="H11" s="13"/>
      <c r="I11" s="13"/>
      <c r="J11" s="13"/>
      <c r="K11" s="21"/>
      <c r="L11" s="13"/>
    </row>
    <row r="12" spans="1:12" ht="12.75" customHeight="1" x14ac:dyDescent="0.25">
      <c r="A12" s="13"/>
      <c r="B12" s="22">
        <v>4</v>
      </c>
      <c r="C12" s="23" t="str">
        <f>VLOOKUP(4,Seed,2,FALSE)</f>
        <v>Oxygen - 14U</v>
      </c>
      <c r="D12" s="24"/>
      <c r="E12" s="24"/>
      <c r="F12" s="23"/>
      <c r="G12" s="23"/>
      <c r="H12" s="23"/>
      <c r="I12" s="23"/>
      <c r="J12" s="23"/>
      <c r="K12" s="25"/>
      <c r="L12" s="13"/>
    </row>
    <row r="13" spans="1:12" ht="12.75" customHeight="1" x14ac:dyDescent="0.25">
      <c r="A13" s="13"/>
      <c r="B13" s="13"/>
      <c r="C13" s="13"/>
      <c r="D13" s="20"/>
      <c r="E13" s="20"/>
      <c r="F13" s="13"/>
      <c r="G13" s="13"/>
      <c r="H13" s="13"/>
      <c r="I13" s="13"/>
      <c r="J13" s="13"/>
      <c r="K13" s="13"/>
      <c r="L13" s="13"/>
    </row>
    <row r="14" spans="1:12" ht="12.75" customHeight="1" x14ac:dyDescent="0.25">
      <c r="A14" s="13"/>
      <c r="B14" s="13"/>
      <c r="C14" s="13"/>
      <c r="D14" s="13"/>
      <c r="E14" s="26" t="s">
        <v>6</v>
      </c>
      <c r="F14" s="27"/>
      <c r="G14" s="27"/>
      <c r="H14" s="27"/>
      <c r="I14" s="13"/>
      <c r="J14" s="13"/>
      <c r="K14" s="13"/>
      <c r="L14" s="13"/>
    </row>
    <row r="15" spans="1:12" ht="12.75" customHeight="1" x14ac:dyDescent="0.25">
      <c r="A15" s="13"/>
      <c r="B15" s="13"/>
      <c r="C15" s="13"/>
      <c r="D15" s="13"/>
      <c r="E15" s="28" t="s">
        <v>7</v>
      </c>
      <c r="F15" s="29" t="s">
        <v>8</v>
      </c>
      <c r="G15" s="30"/>
      <c r="H15" s="31" t="s">
        <v>9</v>
      </c>
      <c r="I15" s="13"/>
      <c r="J15" s="13"/>
      <c r="K15" s="13"/>
      <c r="L15" s="13"/>
    </row>
    <row r="16" spans="1:12" ht="12.75" customHeight="1" x14ac:dyDescent="0.25">
      <c r="A16" s="13"/>
      <c r="B16" s="13"/>
      <c r="C16" s="13"/>
      <c r="D16" s="13"/>
      <c r="E16" s="32">
        <v>1</v>
      </c>
      <c r="F16" s="27" t="s">
        <v>10</v>
      </c>
      <c r="G16" s="27"/>
      <c r="H16" s="33">
        <v>2</v>
      </c>
      <c r="I16" s="13"/>
      <c r="J16" s="13"/>
      <c r="K16" s="13"/>
      <c r="L16" s="13"/>
    </row>
    <row r="17" spans="1:12" ht="12.75" customHeight="1" x14ac:dyDescent="0.25">
      <c r="A17" s="13"/>
      <c r="B17" s="13"/>
      <c r="C17" s="13"/>
      <c r="D17" s="13"/>
      <c r="E17" s="32">
        <v>2</v>
      </c>
      <c r="F17" s="27" t="s">
        <v>11</v>
      </c>
      <c r="G17" s="27"/>
      <c r="H17" s="33">
        <v>1</v>
      </c>
      <c r="I17" s="13"/>
      <c r="J17" s="13"/>
      <c r="K17" s="13"/>
      <c r="L17" s="13"/>
    </row>
    <row r="18" spans="1:12" ht="12.75" customHeight="1" x14ac:dyDescent="0.25">
      <c r="A18" s="13"/>
      <c r="B18" s="13"/>
      <c r="C18" s="13"/>
      <c r="D18" s="13"/>
      <c r="E18" s="32">
        <v>3</v>
      </c>
      <c r="F18" s="27" t="s">
        <v>12</v>
      </c>
      <c r="G18" s="27"/>
      <c r="H18" s="33">
        <v>3</v>
      </c>
      <c r="I18" s="13"/>
      <c r="J18" s="13"/>
      <c r="K18" s="13"/>
      <c r="L18" s="13"/>
    </row>
    <row r="19" spans="1:12" ht="12.75" customHeight="1" x14ac:dyDescent="0.25">
      <c r="A19" s="13"/>
      <c r="B19" s="13"/>
      <c r="C19" s="13"/>
      <c r="D19" s="13"/>
      <c r="E19" s="32">
        <v>4</v>
      </c>
      <c r="F19" s="27" t="s">
        <v>13</v>
      </c>
      <c r="G19" s="27"/>
      <c r="H19" s="33">
        <v>1</v>
      </c>
      <c r="I19" s="13"/>
      <c r="J19" s="13"/>
      <c r="K19" s="13"/>
      <c r="L19" s="13"/>
    </row>
    <row r="20" spans="1:12" ht="12.75" customHeight="1" x14ac:dyDescent="0.25">
      <c r="A20" s="13"/>
      <c r="B20" s="13"/>
      <c r="C20" s="13"/>
      <c r="D20" s="13"/>
      <c r="E20" s="32">
        <v>5</v>
      </c>
      <c r="F20" s="27" t="s">
        <v>14</v>
      </c>
      <c r="G20" s="27"/>
      <c r="H20" s="33">
        <v>2</v>
      </c>
      <c r="I20" s="13"/>
      <c r="J20" s="13"/>
      <c r="K20" s="13"/>
      <c r="L20" s="13"/>
    </row>
    <row r="21" spans="1:12" ht="12.75" customHeight="1" x14ac:dyDescent="0.25">
      <c r="A21" s="13"/>
      <c r="B21" s="13"/>
      <c r="C21" s="13"/>
      <c r="D21" s="13"/>
      <c r="E21" s="34">
        <v>6</v>
      </c>
      <c r="F21" s="35" t="s">
        <v>15</v>
      </c>
      <c r="G21" s="35"/>
      <c r="H21" s="36">
        <v>4</v>
      </c>
      <c r="I21" s="13"/>
      <c r="J21" s="13"/>
      <c r="K21" s="13"/>
      <c r="L21" s="13"/>
    </row>
    <row r="22" spans="1:12" ht="12.75" customHeight="1" x14ac:dyDescent="0.25">
      <c r="A22" s="13"/>
      <c r="B22" s="13"/>
      <c r="C22" s="13"/>
      <c r="D22" s="13"/>
      <c r="E22" s="20"/>
      <c r="F22" s="27"/>
      <c r="G22" s="27"/>
      <c r="H22" s="20"/>
      <c r="I22" s="13"/>
      <c r="J22" s="13"/>
      <c r="K22" s="13"/>
      <c r="L22" s="13"/>
    </row>
    <row r="23" spans="1:12" ht="12.75" customHeight="1" x14ac:dyDescent="0.25">
      <c r="A23" s="113" t="s">
        <v>96</v>
      </c>
      <c r="B23" s="13"/>
      <c r="C23" s="13"/>
      <c r="D23" s="13"/>
      <c r="E23" s="20"/>
      <c r="F23" s="27"/>
      <c r="G23" s="27"/>
      <c r="H23" s="20"/>
      <c r="I23" s="13"/>
      <c r="J23" s="13"/>
      <c r="K23" s="13"/>
      <c r="L23" s="13"/>
    </row>
    <row r="24" spans="1:12" ht="12.75" customHeight="1" x14ac:dyDescent="0.25">
      <c r="A24" s="39">
        <v>1</v>
      </c>
      <c r="B24" s="13" t="s">
        <v>110</v>
      </c>
      <c r="C24" s="13"/>
      <c r="D24" s="13"/>
      <c r="E24" s="20"/>
      <c r="F24" s="27"/>
      <c r="G24" s="27"/>
      <c r="H24" s="20"/>
      <c r="I24" s="13"/>
      <c r="J24" s="13"/>
      <c r="K24" s="13"/>
      <c r="L24" s="13"/>
    </row>
    <row r="25" spans="1:12" ht="12.75" customHeight="1" x14ac:dyDescent="0.25">
      <c r="A25" s="39">
        <f>A24+1</f>
        <v>2</v>
      </c>
      <c r="B25" s="13" t="s">
        <v>97</v>
      </c>
      <c r="C25" s="13"/>
      <c r="D25" s="13"/>
      <c r="E25" s="20"/>
      <c r="F25" s="27"/>
      <c r="G25" s="27"/>
      <c r="H25" s="20"/>
      <c r="I25" s="13"/>
      <c r="J25" s="13"/>
      <c r="K25" s="13"/>
      <c r="L25" s="13"/>
    </row>
    <row r="26" spans="1:12" ht="12.75" customHeight="1" x14ac:dyDescent="0.25">
      <c r="A26" s="39">
        <f>A25+1</f>
        <v>3</v>
      </c>
      <c r="B26" s="13" t="s">
        <v>98</v>
      </c>
      <c r="C26" s="13"/>
      <c r="D26" s="13"/>
      <c r="E26" s="20"/>
      <c r="F26" s="27"/>
      <c r="G26" s="27"/>
      <c r="H26" s="20"/>
      <c r="I26" s="13"/>
      <c r="J26" s="13"/>
      <c r="K26" s="13"/>
      <c r="L26" s="13"/>
    </row>
    <row r="27" spans="1:12" ht="12.75" customHeight="1" x14ac:dyDescent="0.25">
      <c r="A27" s="39">
        <f>A26+1</f>
        <v>4</v>
      </c>
      <c r="B27" s="13" t="s">
        <v>99</v>
      </c>
      <c r="C27" s="13"/>
      <c r="D27" s="13"/>
      <c r="E27" s="20"/>
      <c r="F27" s="27"/>
      <c r="G27" s="27"/>
      <c r="H27" s="20"/>
      <c r="I27" s="13"/>
      <c r="J27" s="13"/>
      <c r="K27" s="13"/>
      <c r="L27" s="13"/>
    </row>
    <row r="28" spans="1:12" ht="12.75" customHeight="1" x14ac:dyDescent="0.25">
      <c r="A28" s="39">
        <f t="shared" ref="A28:A29" si="0">A27+1</f>
        <v>5</v>
      </c>
      <c r="B28" s="13" t="s">
        <v>100</v>
      </c>
      <c r="C28" s="13"/>
      <c r="D28" s="13"/>
      <c r="E28" s="20"/>
      <c r="F28" s="27"/>
      <c r="G28" s="27"/>
      <c r="H28" s="20"/>
      <c r="I28" s="13"/>
      <c r="J28" s="13"/>
      <c r="K28" s="13"/>
      <c r="L28" s="13"/>
    </row>
    <row r="29" spans="1:12" ht="12.75" customHeight="1" x14ac:dyDescent="0.25">
      <c r="A29" s="39">
        <f t="shared" si="0"/>
        <v>6</v>
      </c>
      <c r="B29" s="13" t="s">
        <v>101</v>
      </c>
      <c r="C29" s="13"/>
      <c r="D29" s="13"/>
      <c r="E29" s="20"/>
      <c r="F29" s="27"/>
      <c r="G29" s="27"/>
      <c r="H29" s="20"/>
      <c r="I29" s="13"/>
      <c r="J29" s="13"/>
      <c r="K29" s="13"/>
      <c r="L29" s="13"/>
    </row>
    <row r="30" spans="1:12" ht="12.75" customHeight="1" x14ac:dyDescent="0.25">
      <c r="A30" s="13"/>
      <c r="B30" s="13"/>
      <c r="C30" s="13"/>
      <c r="D30" s="13"/>
      <c r="E30" s="20"/>
      <c r="F30" s="27"/>
      <c r="G30" s="27"/>
      <c r="H30" s="20"/>
      <c r="I30" s="13"/>
      <c r="J30" s="13"/>
      <c r="K30" s="13"/>
      <c r="L30" s="13"/>
    </row>
    <row r="31" spans="1:12" ht="12.75" customHeight="1" x14ac:dyDescent="0.25">
      <c r="A31" s="37" t="s">
        <v>16</v>
      </c>
      <c r="B31" s="13"/>
      <c r="C31" s="13"/>
      <c r="D31" s="13"/>
      <c r="E31" s="20"/>
      <c r="F31" s="27"/>
      <c r="G31" s="27"/>
      <c r="H31" s="20"/>
      <c r="I31" s="13"/>
      <c r="J31" s="13"/>
      <c r="K31" s="13"/>
      <c r="L31" s="13"/>
    </row>
    <row r="32" spans="1:12" ht="12.75" customHeight="1" x14ac:dyDescent="0.25">
      <c r="A32" s="39">
        <v>1</v>
      </c>
      <c r="B32" s="13" t="s">
        <v>58</v>
      </c>
      <c r="C32" s="13"/>
      <c r="D32" s="13"/>
      <c r="E32" s="20"/>
      <c r="F32" s="27"/>
      <c r="G32" s="27"/>
      <c r="H32" s="20"/>
      <c r="I32" s="13"/>
      <c r="J32" s="13"/>
      <c r="K32" s="13"/>
      <c r="L32" s="13"/>
    </row>
    <row r="33" spans="1:12" ht="12.75" customHeight="1" x14ac:dyDescent="0.25">
      <c r="A33" s="39">
        <f>A32+1</f>
        <v>2</v>
      </c>
      <c r="B33" s="13" t="s">
        <v>102</v>
      </c>
      <c r="C33" s="13"/>
      <c r="D33" s="13"/>
      <c r="E33" s="20"/>
      <c r="F33" s="27"/>
      <c r="G33" s="27"/>
      <c r="H33" s="20"/>
      <c r="I33" s="13"/>
      <c r="J33" s="13"/>
      <c r="K33" s="13"/>
      <c r="L33" s="13"/>
    </row>
    <row r="34" spans="1:12" ht="12.75" customHeight="1" x14ac:dyDescent="0.25">
      <c r="A34" s="39">
        <f>A33+1</f>
        <v>3</v>
      </c>
      <c r="B34" s="13" t="s">
        <v>17</v>
      </c>
      <c r="C34" s="13"/>
      <c r="D34" s="13"/>
      <c r="E34" s="20"/>
      <c r="F34" s="27"/>
      <c r="G34" s="27"/>
      <c r="H34" s="20"/>
      <c r="I34" s="13"/>
      <c r="J34" s="13"/>
      <c r="K34" s="13"/>
      <c r="L34" s="13"/>
    </row>
    <row r="35" spans="1:12" ht="12.75" customHeight="1" x14ac:dyDescent="0.25">
      <c r="A35" s="39"/>
      <c r="B35" s="38" t="s">
        <v>18</v>
      </c>
      <c r="C35" s="13" t="s">
        <v>19</v>
      </c>
      <c r="D35" s="13"/>
      <c r="E35" s="20"/>
      <c r="F35" s="27"/>
      <c r="G35" s="27"/>
      <c r="H35" s="20"/>
      <c r="I35" s="13"/>
      <c r="J35" s="13"/>
      <c r="K35" s="13"/>
      <c r="L35" s="13"/>
    </row>
    <row r="36" spans="1:12" ht="12.75" customHeight="1" x14ac:dyDescent="0.25">
      <c r="A36" s="39"/>
      <c r="B36" s="38" t="s">
        <v>18</v>
      </c>
      <c r="C36" s="13" t="s">
        <v>20</v>
      </c>
      <c r="D36" s="13"/>
      <c r="E36" s="20"/>
      <c r="F36" s="27"/>
      <c r="G36" s="27"/>
      <c r="H36" s="20"/>
      <c r="I36" s="13"/>
      <c r="J36" s="13"/>
      <c r="K36" s="13"/>
      <c r="L36" s="13"/>
    </row>
    <row r="37" spans="1:12" ht="12.75" customHeight="1" x14ac:dyDescent="0.25">
      <c r="A37" s="39"/>
      <c r="B37" s="13"/>
      <c r="C37" s="38" t="s">
        <v>21</v>
      </c>
      <c r="D37" s="13" t="s">
        <v>22</v>
      </c>
      <c r="E37" s="20"/>
      <c r="F37" s="27"/>
      <c r="G37" s="27"/>
      <c r="H37" s="20"/>
      <c r="I37" s="13"/>
      <c r="J37" s="13"/>
      <c r="K37" s="13"/>
      <c r="L37" s="13"/>
    </row>
    <row r="38" spans="1:12" ht="12.75" customHeight="1" x14ac:dyDescent="0.25">
      <c r="A38" s="39"/>
      <c r="B38" s="13"/>
      <c r="C38" s="38" t="s">
        <v>21</v>
      </c>
      <c r="D38" s="13" t="s">
        <v>23</v>
      </c>
      <c r="E38" s="20"/>
      <c r="F38" s="27"/>
      <c r="G38" s="27"/>
      <c r="H38" s="20"/>
      <c r="I38" s="13"/>
      <c r="J38" s="13"/>
      <c r="K38" s="13"/>
      <c r="L38" s="13"/>
    </row>
    <row r="39" spans="1:12" ht="12.75" customHeight="1" x14ac:dyDescent="0.25">
      <c r="A39" s="39"/>
      <c r="B39" s="13"/>
      <c r="C39" s="38" t="s">
        <v>21</v>
      </c>
      <c r="D39" s="13" t="s">
        <v>103</v>
      </c>
      <c r="E39" s="20"/>
      <c r="F39" s="27"/>
      <c r="G39" s="27"/>
      <c r="H39" s="20"/>
      <c r="I39" s="13"/>
      <c r="J39" s="13"/>
      <c r="K39" s="13"/>
      <c r="L39" s="13"/>
    </row>
    <row r="40" spans="1:12" ht="12.75" customHeight="1" x14ac:dyDescent="0.25">
      <c r="A40" s="39">
        <f>A34+1</f>
        <v>4</v>
      </c>
      <c r="B40" s="13" t="s">
        <v>104</v>
      </c>
      <c r="C40" s="13"/>
      <c r="D40" s="13"/>
      <c r="E40" s="20"/>
      <c r="F40" s="27"/>
      <c r="G40" s="27"/>
      <c r="H40" s="20"/>
      <c r="I40" s="13"/>
      <c r="J40" s="13"/>
      <c r="K40" s="13"/>
      <c r="L40" s="13"/>
    </row>
    <row r="41" spans="1:12" ht="12.75" customHeight="1" x14ac:dyDescent="0.25">
      <c r="A41" s="13"/>
      <c r="B41" s="13"/>
      <c r="C41" s="13"/>
      <c r="D41" s="13"/>
      <c r="E41" s="20"/>
      <c r="F41" s="27"/>
      <c r="G41" s="27"/>
      <c r="H41" s="20"/>
      <c r="I41" s="13"/>
      <c r="J41" s="13"/>
      <c r="K41" s="13"/>
      <c r="L41" s="13"/>
    </row>
    <row r="42" spans="1:12" ht="12.75" customHeight="1" x14ac:dyDescent="0.25">
      <c r="A42" s="113" t="s">
        <v>93</v>
      </c>
      <c r="B42" s="114"/>
      <c r="C42" s="114"/>
      <c r="D42" s="13"/>
      <c r="E42" s="20"/>
      <c r="F42" s="27"/>
      <c r="G42" s="27"/>
      <c r="H42" s="20"/>
      <c r="I42" s="13"/>
      <c r="J42" s="13"/>
      <c r="K42" s="13"/>
      <c r="L42" s="13"/>
    </row>
    <row r="43" spans="1:12" ht="12.75" customHeight="1" x14ac:dyDescent="0.25">
      <c r="A43" s="39">
        <v>1</v>
      </c>
      <c r="B43" s="115" t="s">
        <v>111</v>
      </c>
      <c r="D43" s="13"/>
      <c r="E43" s="20"/>
      <c r="F43" s="27"/>
      <c r="G43" s="27"/>
      <c r="H43" s="20"/>
      <c r="I43" s="13"/>
      <c r="J43" s="13"/>
      <c r="K43" s="13"/>
      <c r="L43" s="13"/>
    </row>
    <row r="44" spans="1:12" ht="12.75" customHeight="1" x14ac:dyDescent="0.25">
      <c r="A44" s="13"/>
      <c r="B44" s="116"/>
      <c r="C44" s="13"/>
      <c r="D44" s="13"/>
      <c r="E44" s="20"/>
      <c r="F44" s="27"/>
      <c r="G44" s="27"/>
      <c r="H44" s="20"/>
      <c r="I44" s="13"/>
      <c r="J44" s="13"/>
      <c r="K44" s="13"/>
      <c r="L44" s="13"/>
    </row>
    <row r="45" spans="1:12" ht="12.75" customHeight="1" x14ac:dyDescent="0.25">
      <c r="A45" s="113" t="s">
        <v>105</v>
      </c>
      <c r="B45" s="13"/>
      <c r="C45" s="38"/>
      <c r="D45" s="13"/>
      <c r="E45" s="20"/>
      <c r="F45" s="27"/>
      <c r="G45" s="27"/>
      <c r="H45" s="20"/>
      <c r="I45" s="13"/>
      <c r="J45" s="13"/>
      <c r="K45" s="13"/>
      <c r="L45" s="13"/>
    </row>
    <row r="46" spans="1:12" ht="12.75" customHeight="1" x14ac:dyDescent="0.25">
      <c r="A46" s="39">
        <v>1</v>
      </c>
      <c r="B46" s="13" t="s">
        <v>106</v>
      </c>
      <c r="C46" s="13"/>
      <c r="D46" s="13"/>
      <c r="E46" s="20"/>
      <c r="F46" s="27"/>
      <c r="G46" s="27"/>
      <c r="H46" s="20"/>
      <c r="I46" s="13"/>
      <c r="J46" s="13"/>
      <c r="K46" s="13"/>
      <c r="L46" s="13"/>
    </row>
    <row r="47" spans="1:12" ht="12.75" customHeight="1" x14ac:dyDescent="0.25">
      <c r="A47" s="39">
        <f>A46+1</f>
        <v>2</v>
      </c>
      <c r="B47" s="13" t="s">
        <v>112</v>
      </c>
      <c r="C47" s="13"/>
      <c r="D47" s="13"/>
      <c r="E47" s="20"/>
      <c r="F47" s="27"/>
      <c r="G47" s="27"/>
      <c r="H47" s="20"/>
      <c r="I47" s="13"/>
      <c r="J47" s="13"/>
      <c r="K47" s="13"/>
      <c r="L47" s="13"/>
    </row>
    <row r="48" spans="1:12" ht="12.75" customHeight="1" x14ac:dyDescent="0.25">
      <c r="A48" s="39">
        <f>A47+1</f>
        <v>3</v>
      </c>
      <c r="B48" s="13" t="s">
        <v>113</v>
      </c>
      <c r="D48" s="13"/>
      <c r="E48" s="20"/>
      <c r="F48" s="27"/>
      <c r="G48" s="27"/>
      <c r="H48" s="20"/>
      <c r="I48" s="13"/>
      <c r="J48" s="13"/>
      <c r="K48" s="13"/>
      <c r="L48" s="13"/>
    </row>
    <row r="49" spans="1:12" ht="12.75" customHeight="1" x14ac:dyDescent="0.25">
      <c r="A49" s="39">
        <f>A48+1</f>
        <v>4</v>
      </c>
      <c r="B49" s="13" t="s">
        <v>107</v>
      </c>
      <c r="D49" s="13"/>
      <c r="E49" s="20"/>
      <c r="F49" s="27"/>
      <c r="G49" s="27"/>
      <c r="H49" s="20"/>
      <c r="I49" s="13"/>
      <c r="J49" s="13"/>
      <c r="K49" s="13"/>
      <c r="L49" s="13"/>
    </row>
    <row r="50" spans="1:12" ht="12.75" customHeight="1" x14ac:dyDescent="0.25"/>
    <row r="51" spans="1:12" ht="12.75" customHeight="1" x14ac:dyDescent="0.25"/>
    <row r="52" spans="1:12" ht="12.75" customHeight="1" x14ac:dyDescent="0.25"/>
    <row r="53" spans="1:12" ht="12.75" customHeight="1" x14ac:dyDescent="0.25"/>
    <row r="54" spans="1:12" ht="12.75" customHeight="1" x14ac:dyDescent="0.25"/>
    <row r="55" spans="1:12" ht="12.75" customHeight="1" x14ac:dyDescent="0.25"/>
    <row r="56" spans="1:12" ht="12.75" customHeight="1" x14ac:dyDescent="0.25"/>
    <row r="57" spans="1:12" ht="12.75" customHeight="1" x14ac:dyDescent="0.25"/>
    <row r="58" spans="1:12" ht="12.75" customHeight="1" x14ac:dyDescent="0.25"/>
    <row r="65" spans="1:11" ht="13.8" x14ac:dyDescent="0.25">
      <c r="A65" s="40"/>
      <c r="B65" s="40"/>
      <c r="C65" s="40"/>
      <c r="D65" s="40"/>
      <c r="E65" s="40"/>
      <c r="F65" s="40"/>
      <c r="G65" s="40"/>
      <c r="H65" s="40"/>
      <c r="I65" s="40"/>
      <c r="J65" s="40"/>
      <c r="K65" s="40"/>
    </row>
    <row r="66" spans="1:11" ht="13.8" x14ac:dyDescent="0.25">
      <c r="A66" s="40"/>
      <c r="B66" s="40"/>
      <c r="C66" s="40"/>
      <c r="D66" s="40"/>
      <c r="E66" s="40"/>
      <c r="F66" s="40"/>
      <c r="G66" s="40"/>
      <c r="H66" s="40"/>
      <c r="I66" s="40"/>
      <c r="J66" s="40"/>
      <c r="K66" s="40"/>
    </row>
    <row r="67" spans="1:11" ht="13.8" x14ac:dyDescent="0.25">
      <c r="A67" s="40"/>
      <c r="B67" s="40"/>
      <c r="C67" s="40"/>
      <c r="D67" s="40"/>
      <c r="E67" s="40"/>
      <c r="F67" s="40"/>
      <c r="G67" s="40"/>
      <c r="H67" s="40"/>
      <c r="I67" s="40"/>
      <c r="J67" s="40"/>
      <c r="K67" s="40"/>
    </row>
    <row r="68" spans="1:11" ht="13.8" x14ac:dyDescent="0.25">
      <c r="A68" s="40"/>
      <c r="B68" s="40"/>
      <c r="C68" s="40"/>
      <c r="D68" s="40"/>
      <c r="E68" s="40"/>
      <c r="F68" s="40"/>
      <c r="G68" s="40"/>
      <c r="H68" s="40"/>
      <c r="I68" s="40"/>
      <c r="J68" s="40"/>
      <c r="K68" s="40"/>
    </row>
    <row r="69" spans="1:11" ht="13.8" x14ac:dyDescent="0.25">
      <c r="A69" s="40"/>
      <c r="B69" s="40"/>
      <c r="C69" s="40"/>
      <c r="D69" s="40"/>
      <c r="E69" s="40"/>
      <c r="F69" s="40"/>
      <c r="G69" s="40"/>
      <c r="H69" s="40"/>
      <c r="I69" s="40"/>
      <c r="J69" s="40"/>
      <c r="K69" s="40"/>
    </row>
    <row r="70" spans="1:11" ht="13.8" x14ac:dyDescent="0.25">
      <c r="A70" s="40"/>
      <c r="B70" s="40"/>
      <c r="C70" s="40"/>
      <c r="D70" s="40"/>
      <c r="E70" s="40"/>
      <c r="F70" s="40"/>
      <c r="G70" s="40"/>
      <c r="H70" s="40"/>
      <c r="I70" s="40"/>
      <c r="J70" s="40"/>
      <c r="K70" s="40"/>
    </row>
  </sheetData>
  <sheetProtection sheet="1" objects="1" scenarios="1" selectLockedCells="1" selectUnlockedCells="1"/>
  <mergeCells count="5">
    <mergeCell ref="A1:L1"/>
    <mergeCell ref="A3:L3"/>
    <mergeCell ref="A5:L5"/>
    <mergeCell ref="A7:L7"/>
    <mergeCell ref="A4:L4"/>
  </mergeCells>
  <phoneticPr fontId="19" type="noConversion"/>
  <conditionalFormatting sqref="E15:H21 B8:K12">
    <cfRule type="expression" dxfId="0" priority="2" stopIfTrue="1">
      <formula>MOD(ROW()+1,2)</formula>
    </cfRule>
  </conditionalFormatting>
  <printOptions horizontalCentered="1"/>
  <pageMargins left="0.5" right="0.5" top="0.75" bottom="0.5" header="0.5" footer="0.5"/>
  <pageSetup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C31"/>
  <sheetViews>
    <sheetView workbookViewId="0">
      <selection activeCell="B18" sqref="B18:M20"/>
    </sheetView>
  </sheetViews>
  <sheetFormatPr defaultColWidth="8.6640625" defaultRowHeight="13.2" x14ac:dyDescent="0.25"/>
  <cols>
    <col min="1" max="13" width="9.33203125" style="1" customWidth="1"/>
    <col min="14" max="14" width="9.33203125" style="1" hidden="1" customWidth="1"/>
    <col min="15" max="17" width="9.109375" style="1" hidden="1" customWidth="1"/>
    <col min="18" max="18" width="9.109375" style="11" hidden="1" customWidth="1"/>
    <col min="19" max="29" width="9.109375" style="1" customWidth="1"/>
    <col min="30" max="16384" width="8.6640625" style="1"/>
  </cols>
  <sheetData>
    <row r="1" spans="1:29" x14ac:dyDescent="0.25">
      <c r="A1" s="41"/>
      <c r="B1" s="41"/>
      <c r="C1" s="41"/>
      <c r="D1" s="41"/>
      <c r="E1" s="41"/>
      <c r="F1" s="41"/>
      <c r="G1" s="41"/>
      <c r="H1" s="41"/>
      <c r="I1" s="41"/>
      <c r="J1" s="41"/>
      <c r="K1" s="41"/>
      <c r="L1" s="41"/>
      <c r="M1" s="41"/>
      <c r="N1" s="41"/>
      <c r="O1" s="41"/>
      <c r="P1" s="41"/>
    </row>
    <row r="2" spans="1:29" x14ac:dyDescent="0.25">
      <c r="A2" s="41"/>
      <c r="B2" s="41"/>
      <c r="C2" s="41"/>
      <c r="D2" s="41"/>
      <c r="E2" s="41"/>
      <c r="F2" s="41"/>
      <c r="G2" s="41"/>
      <c r="H2" s="41"/>
      <c r="I2" s="41"/>
      <c r="J2" s="41"/>
      <c r="K2" s="41"/>
      <c r="L2" s="41"/>
      <c r="M2" s="41"/>
      <c r="N2" s="41"/>
      <c r="O2" s="41"/>
      <c r="P2" s="41"/>
    </row>
    <row r="3" spans="1:29" ht="15" x14ac:dyDescent="0.25">
      <c r="A3" s="41"/>
      <c r="B3" s="41"/>
      <c r="C3" s="42" t="s">
        <v>24</v>
      </c>
      <c r="D3" s="145">
        <f>tDate</f>
        <v>44948</v>
      </c>
      <c r="E3" s="145"/>
      <c r="F3" s="42" t="s">
        <v>25</v>
      </c>
      <c r="G3" s="151" t="str">
        <f>Division</f>
        <v>14C</v>
      </c>
      <c r="H3" s="151"/>
      <c r="I3" s="42" t="s">
        <v>26</v>
      </c>
      <c r="J3" s="151" t="str">
        <f>ShortName</f>
        <v>Somers</v>
      </c>
      <c r="K3" s="151"/>
      <c r="L3" s="42" t="s">
        <v>27</v>
      </c>
      <c r="M3" s="43">
        <f>FirstCt</f>
        <v>1</v>
      </c>
      <c r="N3" s="3"/>
      <c r="O3" s="41"/>
      <c r="P3" s="41"/>
    </row>
    <row r="4" spans="1:29" x14ac:dyDescent="0.25">
      <c r="A4" s="41"/>
      <c r="B4" s="41"/>
      <c r="C4" s="41"/>
      <c r="D4" s="41"/>
      <c r="E4" s="41"/>
      <c r="F4" s="41"/>
      <c r="G4" s="41"/>
      <c r="H4" s="41"/>
      <c r="I4" s="41"/>
      <c r="J4" s="41"/>
      <c r="K4" s="41"/>
      <c r="L4" s="41"/>
      <c r="M4" s="41"/>
      <c r="N4" s="41"/>
      <c r="O4" s="41"/>
      <c r="P4" s="41"/>
    </row>
    <row r="5" spans="1:29" x14ac:dyDescent="0.25">
      <c r="A5" s="41"/>
      <c r="B5" s="41"/>
      <c r="C5" s="41"/>
      <c r="D5" s="41"/>
      <c r="E5" s="41"/>
      <c r="F5" s="41"/>
      <c r="G5" s="41"/>
      <c r="H5" s="41"/>
      <c r="I5" s="41"/>
      <c r="J5" s="41"/>
      <c r="K5" s="41"/>
      <c r="L5" s="41"/>
      <c r="M5" s="41"/>
      <c r="N5" s="41"/>
      <c r="O5" s="41"/>
      <c r="P5" s="41"/>
    </row>
    <row r="6" spans="1:29" x14ac:dyDescent="0.25">
      <c r="A6" s="41"/>
      <c r="B6" s="41"/>
      <c r="C6" s="41"/>
      <c r="D6" s="41"/>
      <c r="E6" s="41"/>
      <c r="F6" s="41"/>
      <c r="G6" s="41"/>
      <c r="H6" s="41"/>
      <c r="I6" s="41"/>
      <c r="J6" s="41"/>
      <c r="K6" s="41"/>
      <c r="L6" s="41"/>
      <c r="M6" s="41"/>
      <c r="N6" s="41"/>
      <c r="O6" s="41"/>
      <c r="P6" s="41"/>
    </row>
    <row r="7" spans="1:29" ht="30" customHeight="1" x14ac:dyDescent="0.25">
      <c r="A7" s="44" t="str">
        <f>"Pool "&amp;FirstPool</f>
        <v>Pool A</v>
      </c>
      <c r="B7" s="44"/>
      <c r="C7" s="44"/>
      <c r="D7" s="44"/>
      <c r="E7" s="44"/>
      <c r="F7" s="44"/>
      <c r="G7" s="44"/>
      <c r="H7" s="44"/>
      <c r="I7" s="44"/>
      <c r="J7" s="44"/>
      <c r="K7" s="44"/>
      <c r="L7" s="44"/>
      <c r="M7" s="44"/>
      <c r="N7" s="44"/>
      <c r="O7" s="41"/>
      <c r="P7" s="41"/>
    </row>
    <row r="8" spans="1:29" s="51" customFormat="1" ht="40.200000000000003" customHeight="1" thickBot="1" x14ac:dyDescent="0.35">
      <c r="A8" s="45" t="s">
        <v>28</v>
      </c>
      <c r="B8" s="46"/>
      <c r="C8" s="46"/>
      <c r="D8" s="47"/>
      <c r="E8" s="48" t="s">
        <v>29</v>
      </c>
      <c r="F8" s="47"/>
      <c r="G8" s="49" t="s">
        <v>30</v>
      </c>
      <c r="H8" s="49" t="s">
        <v>31</v>
      </c>
      <c r="I8" s="49" t="s">
        <v>32</v>
      </c>
      <c r="J8" s="49" t="s">
        <v>33</v>
      </c>
      <c r="K8" s="49" t="s">
        <v>34</v>
      </c>
      <c r="L8" s="49" t="s">
        <v>35</v>
      </c>
      <c r="M8" s="49" t="s">
        <v>36</v>
      </c>
      <c r="N8" s="50" t="s">
        <v>68</v>
      </c>
      <c r="O8" s="50" t="s">
        <v>62</v>
      </c>
      <c r="P8" s="50" t="s">
        <v>67</v>
      </c>
      <c r="Q8" s="50" t="s">
        <v>63</v>
      </c>
      <c r="R8" s="50" t="s">
        <v>66</v>
      </c>
      <c r="S8" s="50"/>
      <c r="T8" s="50"/>
      <c r="U8" s="50"/>
      <c r="V8" s="50"/>
      <c r="W8" s="50"/>
      <c r="X8" s="50"/>
      <c r="Y8" s="50"/>
      <c r="Z8" s="50"/>
      <c r="AA8" s="50"/>
      <c r="AB8" s="50"/>
      <c r="AC8" s="50"/>
    </row>
    <row r="9" spans="1:29" s="60" customFormat="1" ht="30" customHeight="1" x14ac:dyDescent="0.3">
      <c r="A9" s="52">
        <v>1</v>
      </c>
      <c r="B9" s="53" t="str">
        <f>Format!C9</f>
        <v>Downstate 14 White</v>
      </c>
      <c r="C9" s="54"/>
      <c r="D9" s="55"/>
      <c r="E9" s="65" t="str">
        <f>VLOOKUP(B9,Teams,2,FALSE)</f>
        <v>G14DSTJR3GE</v>
      </c>
      <c r="F9" s="56"/>
      <c r="G9" s="57" t="str">
        <f>IF($B$29,IF(ISNUMBER(B18),B25+F25+L25,""),"")</f>
        <v/>
      </c>
      <c r="H9" s="57" t="str">
        <f>IF($B$29,IF(ISNUMBER(B18),C25+G25+M25,""),"")</f>
        <v/>
      </c>
      <c r="I9" s="57" t="str">
        <f>IF(ISNUMBER(B18),B$24+F$24+L$24,"")</f>
        <v/>
      </c>
      <c r="J9" s="57" t="str">
        <f>IF(ISNUMBER(B18),C$24+G$24+M$24,"")</f>
        <v/>
      </c>
      <c r="K9" s="58" t="str">
        <f>IF(ISNUMBER(I9),I9/(I9+J9),"")</f>
        <v/>
      </c>
      <c r="L9" s="58" t="str">
        <f>IF(ISNUMBER(I9),(B26+F26+L26)/(B26+C26+F26+G26+L26+M26),"")</f>
        <v/>
      </c>
      <c r="M9" s="57" t="str">
        <f>IF(ISNUMBER($M$18),IF(AND($P$9=$P$10,NOT($P$9=$P$11),NOT($P$9=$P$12)),IF($L$28,MIN($R$9,$R$10),MAX($R$9,$R$10)),IF(AND($P$9=$P$11,NOT($P$9=$P$10),NOT($P$9=$P$12)),IF($B$28,MIN($R$9,$R$11),MAX($R$9,$R$11)),IF(AND($P$9=$P$12,NOT($P$9=$P$10),NOT($P$9=$P$11)),IF($F$28,MIN($R$9,$R$12),MAX($R$9,$R$12)),$R$9))),"")</f>
        <v/>
      </c>
      <c r="N9" s="86" t="str">
        <f>B9</f>
        <v>Downstate 14 White</v>
      </c>
      <c r="O9" s="59">
        <f>IF(ISNUMBER(G9+H9),G9/(G9+H9),0)</f>
        <v>0</v>
      </c>
      <c r="P9" s="59">
        <f>IF($B$29,O9,K9)</f>
        <v>0</v>
      </c>
      <c r="Q9" s="59" t="e">
        <f ca="1">((O9*1000+K9)*1000+L9)*1000+RAND()</f>
        <v>#VALUE!</v>
      </c>
      <c r="R9" s="79" t="str">
        <f>IF(ISBLANK($M$19),"",RANK($Q9,$Q$9:$Q$12))</f>
        <v/>
      </c>
      <c r="S9" s="150" t="s">
        <v>74</v>
      </c>
      <c r="T9" s="150"/>
      <c r="U9" s="150"/>
      <c r="V9" s="92"/>
      <c r="W9" s="59"/>
      <c r="X9" s="59"/>
      <c r="Y9" s="59"/>
      <c r="Z9" s="59"/>
      <c r="AA9" s="59"/>
      <c r="AB9" s="59"/>
      <c r="AC9" s="59"/>
    </row>
    <row r="10" spans="1:29" s="60" customFormat="1" ht="30" customHeight="1" x14ac:dyDescent="0.3">
      <c r="A10" s="61">
        <v>2</v>
      </c>
      <c r="B10" s="62" t="str">
        <f>Format!C10</f>
        <v>Downstate 14 Blue</v>
      </c>
      <c r="C10" s="63"/>
      <c r="D10" s="64"/>
      <c r="E10" s="65" t="str">
        <f>VLOOKUP(B10,Teams,2,FALSE)</f>
        <v>G14DSTJR4GE</v>
      </c>
      <c r="F10" s="66"/>
      <c r="G10" s="67" t="str">
        <f>IF($B$29,IF(ISNUMBER(D18),D25+H25+M25,""),"")</f>
        <v/>
      </c>
      <c r="H10" s="67" t="str">
        <f>IF($B$29,IF(ISNUMBER(D18),E25+I25+L25,""),"")</f>
        <v/>
      </c>
      <c r="I10" s="67" t="str">
        <f>IF(ISNUMBER(D18),D$24+H$24+M$24,"")</f>
        <v/>
      </c>
      <c r="J10" s="67" t="str">
        <f>IF(ISNUMBER(D18),E$24+I$24+L$24,"")</f>
        <v/>
      </c>
      <c r="K10" s="68" t="str">
        <f>IF(ISNUMBER(I10),I10/(I10+J10),"")</f>
        <v/>
      </c>
      <c r="L10" s="68" t="str">
        <f>IF(ISNUMBER(I10),(D26+H26+M26)/(D26+E26+H26+I26+L26+M26),"")</f>
        <v/>
      </c>
      <c r="M10" s="67" t="str">
        <f>IF(ISNUMBER($M$18),IF(AND($P$10=$P$9,NOT($P$10=$P$11),NOT($P$10=$P$12)),IF($M$28,MIN($R$9,$R$10),MAX($R$9,$R$10)),IF(AND($P$10=$P$11,NOT($P$10=$P$9),NOT($P$10=$P$12)),IF($H$28,MIN($R$10,$R$11),MAX($R$10,$R$11)),IF(AND($P$10=$P$12,NOT($P$10=$P$9),NOT($P$10=$P$11)),IF($D$28,MIN($R$10,$R$12),MAX($R$10,$R$12)),$R$10))),"")</f>
        <v/>
      </c>
      <c r="N10" s="86" t="str">
        <f t="shared" ref="N10:N12" si="0">B10</f>
        <v>Downstate 14 Blue</v>
      </c>
      <c r="O10" s="59">
        <f>IF(ISNUMBER(G10+H10),G10/(G10+H10),0)</f>
        <v>0</v>
      </c>
      <c r="P10" s="59">
        <f>IF($B$29,O10,K10)</f>
        <v>0</v>
      </c>
      <c r="Q10" s="59" t="e">
        <f ca="1">((O10*1000+K10)*1000+L10)*1000+RAND()</f>
        <v>#VALUE!</v>
      </c>
      <c r="R10" s="79" t="str">
        <f>IF(ISBLANK($M$19),"",RANK($Q10,$Q$9:$Q$12))</f>
        <v/>
      </c>
      <c r="S10" s="92"/>
      <c r="T10" s="92"/>
      <c r="U10" s="92"/>
      <c r="V10" s="92"/>
      <c r="W10" s="59"/>
      <c r="X10" s="59"/>
      <c r="Y10" s="59"/>
      <c r="Z10" s="59"/>
      <c r="AA10" s="59"/>
      <c r="AB10" s="59"/>
      <c r="AC10" s="59"/>
    </row>
    <row r="11" spans="1:29" s="60" customFormat="1" ht="30" customHeight="1" x14ac:dyDescent="0.3">
      <c r="A11" s="61">
        <v>3</v>
      </c>
      <c r="B11" s="62" t="str">
        <f>Format!C11</f>
        <v>OC Lady Elite 14 Black</v>
      </c>
      <c r="C11" s="63"/>
      <c r="D11" s="64"/>
      <c r="E11" s="65" t="str">
        <f>VLOOKUP(B11,Teams,2,FALSE)</f>
        <v>G14OCLEV1GE</v>
      </c>
      <c r="F11" s="66"/>
      <c r="G11" s="67" t="str">
        <f>IF($B$29,IF(ISNUMBER(B18),C25+I25+J25,""),"")</f>
        <v/>
      </c>
      <c r="H11" s="67" t="str">
        <f>IF($B$29,IF(ISNUMBER(B18),B25+H25+K25,""),"")</f>
        <v/>
      </c>
      <c r="I11" s="67" t="str">
        <f>IF(ISNUMBER(B18),C$24+I$24+J$24,"")</f>
        <v/>
      </c>
      <c r="J11" s="67" t="str">
        <f>IF(ISNUMBER(B18),B$24+H$24+K$24,"")</f>
        <v/>
      </c>
      <c r="K11" s="68" t="str">
        <f>IF(ISNUMBER(I11),I11/(I11+J11),"")</f>
        <v/>
      </c>
      <c r="L11" s="68" t="str">
        <f>IF(ISNUMBER(I11),(C26+I26+J26)/(B26+C26+H26+I26+J26+K26),"")</f>
        <v/>
      </c>
      <c r="M11" s="67" t="str">
        <f>IF(ISNUMBER($M$18),IF(AND($P$11=$P$9,NOT($P$11=$P$10),NOT($P$11=$P$12)),IF($C$28,MIN($R$11,$R$9),MAX($R$11,$R$9)),IF(AND($P$11=$P$10,NOT($P$11=$P$9),NOT($P$11=$P$12)),IF($I$28,MIN($R$11,$R$10),MAX($R$11,$R$10)),IF(AND($P$11=$P$12,NOT($P$11=$P$9),NOT($P$11=$P$10)),IF($J$28,MIN($R$11,$R$12),MAX($R$11,$R$12)),$R$11))),"")</f>
        <v/>
      </c>
      <c r="N11" s="86" t="str">
        <f t="shared" si="0"/>
        <v>OC Lady Elite 14 Black</v>
      </c>
      <c r="O11" s="59">
        <f>IF(ISNUMBER(G11+H11),G11/(G11+H11),0)</f>
        <v>0</v>
      </c>
      <c r="P11" s="59">
        <f>IF($B$29,O11,K11)</f>
        <v>0</v>
      </c>
      <c r="Q11" s="59" t="e">
        <f ca="1">((O11*1000+K11)*1000+L11)*1000+RAND()</f>
        <v>#VALUE!</v>
      </c>
      <c r="R11" s="79" t="str">
        <f>IF(ISBLANK($M$19),"",RANK($Q11,$Q$9:$Q$12))</f>
        <v/>
      </c>
      <c r="S11" s="59"/>
      <c r="T11" s="59"/>
      <c r="U11" s="59"/>
      <c r="V11" s="59"/>
      <c r="W11" s="59"/>
      <c r="X11" s="59"/>
      <c r="Y11" s="59"/>
      <c r="Z11" s="59"/>
      <c r="AA11" s="59"/>
      <c r="AB11" s="59"/>
      <c r="AC11" s="59"/>
    </row>
    <row r="12" spans="1:29" s="60" customFormat="1" ht="30" customHeight="1" x14ac:dyDescent="0.3">
      <c r="A12" s="61">
        <v>4</v>
      </c>
      <c r="B12" s="62" t="str">
        <f>Format!C12</f>
        <v>Oxygen - 14U</v>
      </c>
      <c r="C12" s="63"/>
      <c r="D12" s="64"/>
      <c r="E12" s="65" t="str">
        <f>VLOOKUP(B12,Teams,2,FALSE)</f>
        <v>G14O2VBC1GE</v>
      </c>
      <c r="F12" s="66"/>
      <c r="G12" s="67" t="str">
        <f>IF($B$29,IF(ISNUMBER(D18),E25+G25+K25,""),"")</f>
        <v/>
      </c>
      <c r="H12" s="67" t="str">
        <f>IF($B$29,IF(ISNUMBER(D18),D25+F25+J25,""),"")</f>
        <v/>
      </c>
      <c r="I12" s="67" t="str">
        <f>IF(ISNUMBER(D18),E$24+G$24+K$24,"")</f>
        <v/>
      </c>
      <c r="J12" s="67" t="str">
        <f>IF(ISNUMBER(D18),D$24+F$24+J$24,"")</f>
        <v/>
      </c>
      <c r="K12" s="68" t="str">
        <f>IF(ISNUMBER(I12),I12/(I12+J12),"")</f>
        <v/>
      </c>
      <c r="L12" s="68" t="str">
        <f>IF(ISNUMBER(I12),(E26+G26+K26)/(D26+E26+F26+G26+J26+K26),"")</f>
        <v/>
      </c>
      <c r="M12" s="67" t="str">
        <f>IF(ISNUMBER($M$18),IF(AND($P$12=$P$9,NOT($P$12=$P$10),NOT($P$12=$P$11)),IF($G$28,MIN($R$12,$R$9),MAX($R$12,$R$9)),IF(AND($P$12=$P$10,NOT($P$12=$P$9),NOT($P$12=$P$11)),IF($E$28,MIN($R$12,$R$10),MAX($R$12,$R$10)),IF(AND($P$12=$P$11,NOT($P$12=$P$9),NOT($P$12=$P$10)),IF($K$28,MIN($R$12,$R$11),MAX($R$12,$R$11)),$R$12))),"")</f>
        <v/>
      </c>
      <c r="N12" s="86" t="str">
        <f t="shared" si="0"/>
        <v>Oxygen - 14U</v>
      </c>
      <c r="O12" s="59">
        <f>IF(ISNUMBER(G12+H12),G12/(G12+H12),0)</f>
        <v>0</v>
      </c>
      <c r="P12" s="59">
        <f>IF($B$29,O12,K12)</f>
        <v>0</v>
      </c>
      <c r="Q12" s="59" t="e">
        <f ca="1">((O12*1000+K12)*1000+L12)*1000+RAND()</f>
        <v>#VALUE!</v>
      </c>
      <c r="R12" s="79" t="str">
        <f>IF(ISBLANK($M$19),"",RANK($Q12,$Q$9:$Q$12))</f>
        <v/>
      </c>
      <c r="S12" s="59"/>
      <c r="T12" s="59"/>
      <c r="U12" s="59"/>
      <c r="V12" s="59"/>
      <c r="W12" s="59"/>
      <c r="X12" s="59"/>
      <c r="Y12" s="59"/>
      <c r="Z12" s="59"/>
      <c r="AA12" s="59"/>
      <c r="AB12" s="59"/>
      <c r="AC12" s="59"/>
    </row>
    <row r="13" spans="1:29" ht="30" customHeight="1" x14ac:dyDescent="0.25">
      <c r="A13" s="41"/>
      <c r="B13" s="41"/>
      <c r="C13" s="41"/>
      <c r="D13" s="41"/>
      <c r="E13" s="41"/>
      <c r="F13" s="41"/>
      <c r="G13" s="41"/>
      <c r="H13" s="41"/>
      <c r="I13" s="41"/>
      <c r="J13" s="41"/>
      <c r="K13" s="41"/>
      <c r="L13" s="41"/>
      <c r="M13" s="41"/>
      <c r="N13" s="41"/>
      <c r="O13" s="41"/>
      <c r="P13" s="41"/>
    </row>
    <row r="14" spans="1:29" ht="30" customHeight="1" x14ac:dyDescent="0.25">
      <c r="A14" s="69" t="s">
        <v>37</v>
      </c>
      <c r="B14" s="70"/>
      <c r="C14" s="70"/>
      <c r="D14" s="70"/>
      <c r="E14" s="70"/>
      <c r="F14" s="70"/>
      <c r="G14" s="70"/>
      <c r="H14" s="70"/>
      <c r="I14" s="70"/>
      <c r="J14" s="70"/>
      <c r="K14" s="70"/>
      <c r="L14" s="70"/>
      <c r="M14" s="70"/>
      <c r="N14" s="70"/>
      <c r="O14" s="41"/>
      <c r="P14" s="41"/>
    </row>
    <row r="15" spans="1:29" s="60" customFormat="1" ht="19.95" customHeight="1" x14ac:dyDescent="0.3">
      <c r="A15" s="59"/>
      <c r="B15" s="71" t="s">
        <v>38</v>
      </c>
      <c r="C15" s="72"/>
      <c r="D15" s="71" t="s">
        <v>39</v>
      </c>
      <c r="E15" s="72"/>
      <c r="F15" s="71" t="s">
        <v>40</v>
      </c>
      <c r="G15" s="72"/>
      <c r="H15" s="71" t="s">
        <v>41</v>
      </c>
      <c r="I15" s="72"/>
      <c r="J15" s="71" t="s">
        <v>42</v>
      </c>
      <c r="K15" s="72"/>
      <c r="L15" s="146" t="s">
        <v>43</v>
      </c>
      <c r="M15" s="147"/>
      <c r="N15" s="69"/>
      <c r="O15" s="59"/>
      <c r="P15" s="59"/>
      <c r="R15" s="85"/>
    </row>
    <row r="16" spans="1:29" s="60" customFormat="1" ht="19.95" customHeight="1" x14ac:dyDescent="0.3">
      <c r="A16" s="59"/>
      <c r="B16" s="73" t="s">
        <v>10</v>
      </c>
      <c r="C16" s="74"/>
      <c r="D16" s="73" t="s">
        <v>11</v>
      </c>
      <c r="E16" s="74"/>
      <c r="F16" s="73" t="s">
        <v>12</v>
      </c>
      <c r="G16" s="74"/>
      <c r="H16" s="73" t="s">
        <v>13</v>
      </c>
      <c r="I16" s="74"/>
      <c r="J16" s="73" t="s">
        <v>14</v>
      </c>
      <c r="K16" s="74"/>
      <c r="L16" s="148" t="s">
        <v>15</v>
      </c>
      <c r="M16" s="149"/>
      <c r="N16" s="69"/>
      <c r="O16" s="59"/>
      <c r="P16" s="59"/>
      <c r="R16" s="85"/>
    </row>
    <row r="17" spans="1:23" s="60" customFormat="1" ht="19.95" customHeight="1" x14ac:dyDescent="0.3">
      <c r="A17" s="59"/>
      <c r="B17" s="75" t="s">
        <v>44</v>
      </c>
      <c r="C17" s="76"/>
      <c r="D17" s="75" t="s">
        <v>45</v>
      </c>
      <c r="E17" s="76"/>
      <c r="F17" s="75" t="s">
        <v>46</v>
      </c>
      <c r="G17" s="76"/>
      <c r="H17" s="75" t="s">
        <v>45</v>
      </c>
      <c r="I17" s="76"/>
      <c r="J17" s="75" t="s">
        <v>44</v>
      </c>
      <c r="K17" s="76"/>
      <c r="L17" s="141" t="s">
        <v>47</v>
      </c>
      <c r="M17" s="142"/>
      <c r="N17" s="69"/>
      <c r="O17" s="59"/>
      <c r="P17" s="59"/>
      <c r="R17" s="85"/>
    </row>
    <row r="18" spans="1:23" ht="30" customHeight="1" x14ac:dyDescent="0.3">
      <c r="A18" s="77" t="s">
        <v>48</v>
      </c>
      <c r="B18" s="82"/>
      <c r="C18" s="82"/>
      <c r="D18" s="82"/>
      <c r="E18" s="82"/>
      <c r="F18" s="82"/>
      <c r="G18" s="82"/>
      <c r="H18" s="82"/>
      <c r="I18" s="82"/>
      <c r="J18" s="82"/>
      <c r="K18" s="82"/>
      <c r="L18" s="82"/>
      <c r="M18" s="82"/>
      <c r="N18" s="87"/>
      <c r="O18" s="41"/>
      <c r="P18" s="41"/>
      <c r="S18" s="143" t="s">
        <v>71</v>
      </c>
      <c r="T18" s="143"/>
      <c r="U18" s="144"/>
      <c r="V18" s="90">
        <v>25</v>
      </c>
      <c r="W18" s="90">
        <v>22</v>
      </c>
    </row>
    <row r="19" spans="1:23" ht="30" customHeight="1" x14ac:dyDescent="0.3">
      <c r="A19" s="77" t="s">
        <v>49</v>
      </c>
      <c r="B19" s="82"/>
      <c r="C19" s="82"/>
      <c r="D19" s="82"/>
      <c r="E19" s="82"/>
      <c r="F19" s="82"/>
      <c r="G19" s="82"/>
      <c r="H19" s="82"/>
      <c r="I19" s="82"/>
      <c r="J19" s="82"/>
      <c r="K19" s="82"/>
      <c r="L19" s="82"/>
      <c r="M19" s="82"/>
      <c r="N19" s="87"/>
      <c r="O19" s="41"/>
      <c r="P19" s="41"/>
    </row>
    <row r="20" spans="1:23" ht="30" customHeight="1" x14ac:dyDescent="0.3">
      <c r="A20" s="77" t="s">
        <v>50</v>
      </c>
      <c r="B20" s="82"/>
      <c r="C20" s="82"/>
      <c r="D20" s="82"/>
      <c r="E20" s="82"/>
      <c r="F20" s="82"/>
      <c r="G20" s="82"/>
      <c r="H20" s="82"/>
      <c r="I20" s="82"/>
      <c r="J20" s="82"/>
      <c r="K20" s="82"/>
      <c r="L20" s="82"/>
      <c r="M20" s="82"/>
      <c r="N20" s="87"/>
      <c r="O20" s="41"/>
      <c r="P20" s="41"/>
    </row>
    <row r="21" spans="1:23" hidden="1" x14ac:dyDescent="0.25">
      <c r="A21" s="88" t="s">
        <v>51</v>
      </c>
      <c r="B21" s="41">
        <f>IF(ISNUMBER(B18),IF(B18&gt;C18,1,0),0)</f>
        <v>0</v>
      </c>
      <c r="C21" s="41">
        <f>IF(ISNUMBER(C18),IF(B21,0,1),0)</f>
        <v>0</v>
      </c>
      <c r="D21" s="41">
        <f>IF(ISNUMBER(D18),IF(D18&gt;E18,1,0),0)</f>
        <v>0</v>
      </c>
      <c r="E21" s="41">
        <f>IF(ISNUMBER(E18),IF(D21,0,1),0)</f>
        <v>0</v>
      </c>
      <c r="F21" s="41">
        <f>IF(ISNUMBER(F18),IF(F18&gt;G18,1,0),0)</f>
        <v>0</v>
      </c>
      <c r="G21" s="41">
        <f>IF(ISNUMBER(G18),IF(F21,0,1),0)</f>
        <v>0</v>
      </c>
      <c r="H21" s="41">
        <f>IF(ISNUMBER(H18),IF(H18&gt;I18,1,0),0)</f>
        <v>0</v>
      </c>
      <c r="I21" s="41">
        <f>IF(ISNUMBER(I18),IF(H21,0,1),0)</f>
        <v>0</v>
      </c>
      <c r="J21" s="41">
        <f>IF(ISNUMBER(J18),IF(J18&gt;K18,1,0),0)</f>
        <v>0</v>
      </c>
      <c r="K21" s="41">
        <f>IF(ISNUMBER(K18),IF(J21,0,1),0)</f>
        <v>0</v>
      </c>
      <c r="L21" s="41">
        <f>IF(ISNUMBER(L18),IF(L18&gt;M18,1,0),0)</f>
        <v>0</v>
      </c>
      <c r="M21" s="41">
        <f>IF(ISNUMBER(M18),IF(L21,0,1),0)</f>
        <v>0</v>
      </c>
      <c r="N21" s="41"/>
      <c r="O21" s="41"/>
      <c r="P21" s="41"/>
    </row>
    <row r="22" spans="1:23" hidden="1" x14ac:dyDescent="0.25">
      <c r="A22" s="89" t="s">
        <v>52</v>
      </c>
      <c r="B22" s="41">
        <f>IF(ISNUMBER(B19),IF(B19&gt;C19,1,0),0)</f>
        <v>0</v>
      </c>
      <c r="C22" s="41">
        <f>IF(ISNUMBER(C19),IF(B22,0,1),0)</f>
        <v>0</v>
      </c>
      <c r="D22" s="41">
        <f>IF(ISNUMBER(D19),IF(D19&gt;E19,1,0),0)</f>
        <v>0</v>
      </c>
      <c r="E22" s="41">
        <f>IF(ISNUMBER(E19),IF(D22,0,1),0)</f>
        <v>0</v>
      </c>
      <c r="F22" s="41">
        <f>IF(ISNUMBER(F19),IF(F19&gt;G19,1,0),0)</f>
        <v>0</v>
      </c>
      <c r="G22" s="41">
        <f>IF(ISNUMBER(G19),IF(F22,0,1),0)</f>
        <v>0</v>
      </c>
      <c r="H22" s="41">
        <f>IF(ISNUMBER(H19),IF(H19&gt;I19,1,0),0)</f>
        <v>0</v>
      </c>
      <c r="I22" s="41">
        <f>IF(ISNUMBER(I19),IF(H22,0,1),0)</f>
        <v>0</v>
      </c>
      <c r="J22" s="41">
        <f>IF(ISNUMBER(J19),IF(J19&gt;K19,1,0),0)</f>
        <v>0</v>
      </c>
      <c r="K22" s="41">
        <f>IF(ISNUMBER(K19),IF(J22,0,1),0)</f>
        <v>0</v>
      </c>
      <c r="L22" s="41">
        <f>IF(ISNUMBER(L19),IF(L19&gt;M19,1,0),0)</f>
        <v>0</v>
      </c>
      <c r="M22" s="41">
        <f>IF(ISNUMBER(M19),IF(L22,0,1),0)</f>
        <v>0</v>
      </c>
      <c r="N22" s="41"/>
      <c r="O22" s="41"/>
      <c r="P22" s="41"/>
    </row>
    <row r="23" spans="1:23" hidden="1" x14ac:dyDescent="0.25">
      <c r="A23" s="89" t="s">
        <v>53</v>
      </c>
      <c r="B23" s="41">
        <f>IF(ISNUMBER(B20),IF(B20&gt;C20,1,0),0)</f>
        <v>0</v>
      </c>
      <c r="C23" s="41">
        <f>IF(ISNUMBER(C20),IF(B23,0,1),0)</f>
        <v>0</v>
      </c>
      <c r="D23" s="41">
        <f>IF(ISNUMBER(D20),IF(D20&gt;E20,1,0),0)</f>
        <v>0</v>
      </c>
      <c r="E23" s="41">
        <f>IF(ISNUMBER(E20),IF(D23,0,1),0)</f>
        <v>0</v>
      </c>
      <c r="F23" s="41">
        <f>IF(ISNUMBER(F20),IF(F20&gt;G20,1,0),0)</f>
        <v>0</v>
      </c>
      <c r="G23" s="41">
        <f>IF(ISNUMBER(G20),IF(F23,0,1),0)</f>
        <v>0</v>
      </c>
      <c r="H23" s="41">
        <f>IF(ISNUMBER(H20),IF(H20&gt;I20,1,0),0)</f>
        <v>0</v>
      </c>
      <c r="I23" s="41">
        <f>IF(ISNUMBER(I20),IF(H23,0,1),0)</f>
        <v>0</v>
      </c>
      <c r="J23" s="41">
        <f>IF(ISNUMBER(J20),IF(J20&gt;K20,1,0),0)</f>
        <v>0</v>
      </c>
      <c r="K23" s="41">
        <f>IF(ISNUMBER(K20),IF(J23,0,1),0)</f>
        <v>0</v>
      </c>
      <c r="L23" s="41">
        <f>IF(ISNUMBER(L20),IF(L20&gt;M20,1,0),0)</f>
        <v>0</v>
      </c>
      <c r="M23" s="41">
        <f>IF(ISNUMBER(M20),IF(L23,0,1),0)</f>
        <v>0</v>
      </c>
      <c r="N23" s="41"/>
      <c r="O23" s="41"/>
      <c r="P23" s="41"/>
    </row>
    <row r="24" spans="1:23" hidden="1" x14ac:dyDescent="0.25">
      <c r="A24" s="78" t="s">
        <v>54</v>
      </c>
      <c r="B24" s="41">
        <f t="shared" ref="B24:M24" si="1">SUM(B21:B23)</f>
        <v>0</v>
      </c>
      <c r="C24" s="41">
        <f t="shared" si="1"/>
        <v>0</v>
      </c>
      <c r="D24" s="41">
        <f t="shared" si="1"/>
        <v>0</v>
      </c>
      <c r="E24" s="41">
        <f t="shared" si="1"/>
        <v>0</v>
      </c>
      <c r="F24" s="41">
        <f t="shared" si="1"/>
        <v>0</v>
      </c>
      <c r="G24" s="41">
        <f t="shared" si="1"/>
        <v>0</v>
      </c>
      <c r="H24" s="41">
        <f t="shared" si="1"/>
        <v>0</v>
      </c>
      <c r="I24" s="41">
        <f t="shared" si="1"/>
        <v>0</v>
      </c>
      <c r="J24" s="41">
        <f t="shared" si="1"/>
        <v>0</v>
      </c>
      <c r="K24" s="41">
        <f t="shared" si="1"/>
        <v>0</v>
      </c>
      <c r="L24" s="41">
        <f t="shared" si="1"/>
        <v>0</v>
      </c>
      <c r="M24" s="41">
        <f t="shared" si="1"/>
        <v>0</v>
      </c>
      <c r="N24" s="41"/>
      <c r="O24" s="41"/>
      <c r="P24" s="41"/>
    </row>
    <row r="25" spans="1:23" hidden="1" x14ac:dyDescent="0.25">
      <c r="A25" s="78" t="s">
        <v>55</v>
      </c>
      <c r="B25" s="41">
        <f>IF(B24&gt;C24,1,0)</f>
        <v>0</v>
      </c>
      <c r="C25" s="41">
        <f>IF(C24&gt;B24,1,0)</f>
        <v>0</v>
      </c>
      <c r="D25" s="41">
        <f>IF(D24&gt;E24,1,0)</f>
        <v>0</v>
      </c>
      <c r="E25" s="41">
        <f>IF(E24&gt;D24,1,0)</f>
        <v>0</v>
      </c>
      <c r="F25" s="41">
        <f>IF(F24&gt;G24,1,0)</f>
        <v>0</v>
      </c>
      <c r="G25" s="41">
        <f>IF(G24&gt;F24,1,0)</f>
        <v>0</v>
      </c>
      <c r="H25" s="41">
        <f>IF(H24&gt;I24,1,0)</f>
        <v>0</v>
      </c>
      <c r="I25" s="41">
        <f>IF(I24&gt;H24,1,0)</f>
        <v>0</v>
      </c>
      <c r="J25" s="41">
        <f>IF(J24&gt;K24,1,0)</f>
        <v>0</v>
      </c>
      <c r="K25" s="41">
        <f>IF(K24&gt;J24,1,0)</f>
        <v>0</v>
      </c>
      <c r="L25" s="41">
        <f>IF(L24&gt;M24,1,0)</f>
        <v>0</v>
      </c>
      <c r="M25" s="41">
        <f>IF(M24&gt;L24,1,0)</f>
        <v>0</v>
      </c>
      <c r="N25" s="41"/>
      <c r="O25" s="41"/>
      <c r="P25" s="41"/>
    </row>
    <row r="26" spans="1:23" hidden="1" x14ac:dyDescent="0.25">
      <c r="A26" s="78" t="s">
        <v>56</v>
      </c>
      <c r="B26" s="41">
        <f t="shared" ref="B26:M26" si="2">SUM(B18:B20)</f>
        <v>0</v>
      </c>
      <c r="C26" s="41">
        <f t="shared" si="2"/>
        <v>0</v>
      </c>
      <c r="D26" s="41">
        <f t="shared" si="2"/>
        <v>0</v>
      </c>
      <c r="E26" s="41">
        <f t="shared" si="2"/>
        <v>0</v>
      </c>
      <c r="F26" s="41">
        <f t="shared" si="2"/>
        <v>0</v>
      </c>
      <c r="G26" s="41">
        <f t="shared" si="2"/>
        <v>0</v>
      </c>
      <c r="H26" s="41">
        <f t="shared" si="2"/>
        <v>0</v>
      </c>
      <c r="I26" s="41">
        <f t="shared" si="2"/>
        <v>0</v>
      </c>
      <c r="J26" s="41">
        <f t="shared" si="2"/>
        <v>0</v>
      </c>
      <c r="K26" s="41">
        <f t="shared" si="2"/>
        <v>0</v>
      </c>
      <c r="L26" s="41">
        <f t="shared" si="2"/>
        <v>0</v>
      </c>
      <c r="M26" s="41">
        <f t="shared" si="2"/>
        <v>0</v>
      </c>
      <c r="N26" s="41"/>
      <c r="O26" s="41"/>
      <c r="P26" s="41"/>
    </row>
    <row r="27" spans="1:23" hidden="1" x14ac:dyDescent="0.25">
      <c r="A27" s="78" t="s">
        <v>70</v>
      </c>
      <c r="B27" s="41">
        <f ca="1">((B25*100+B24)*100+B26)*100+RANDBETWEEN(0,100)</f>
        <v>84</v>
      </c>
      <c r="C27" s="41">
        <f t="shared" ref="C27:M27" ca="1" si="3">((C25*100+C24)*100+C26)*100+RANDBETWEEN(0,100)</f>
        <v>63</v>
      </c>
      <c r="D27" s="41">
        <f t="shared" ca="1" si="3"/>
        <v>65</v>
      </c>
      <c r="E27" s="41">
        <f t="shared" ca="1" si="3"/>
        <v>1</v>
      </c>
      <c r="F27" s="41">
        <f t="shared" ca="1" si="3"/>
        <v>40</v>
      </c>
      <c r="G27" s="41">
        <f t="shared" ca="1" si="3"/>
        <v>3</v>
      </c>
      <c r="H27" s="41">
        <f t="shared" ca="1" si="3"/>
        <v>46</v>
      </c>
      <c r="I27" s="41">
        <f t="shared" ca="1" si="3"/>
        <v>2</v>
      </c>
      <c r="J27" s="41">
        <f t="shared" ca="1" si="3"/>
        <v>84</v>
      </c>
      <c r="K27" s="41">
        <f t="shared" ca="1" si="3"/>
        <v>82</v>
      </c>
      <c r="L27" s="41">
        <f t="shared" ca="1" si="3"/>
        <v>35</v>
      </c>
      <c r="M27" s="41">
        <f t="shared" ca="1" si="3"/>
        <v>13</v>
      </c>
      <c r="N27" s="41"/>
      <c r="O27" s="41"/>
      <c r="P27" s="41"/>
    </row>
    <row r="28" spans="1:23" hidden="1" x14ac:dyDescent="0.25">
      <c r="A28" s="78" t="s">
        <v>69</v>
      </c>
      <c r="B28" s="41">
        <f ca="1">IF(B27&gt;C27,1,0)</f>
        <v>1</v>
      </c>
      <c r="C28" s="41">
        <f ca="1">IF(B28=1,0,1)</f>
        <v>0</v>
      </c>
      <c r="D28" s="41">
        <f ca="1">IF(D27&gt;E27,1,0)</f>
        <v>1</v>
      </c>
      <c r="E28" s="41">
        <f ca="1">IF(D28=1,0,1)</f>
        <v>0</v>
      </c>
      <c r="F28" s="41">
        <f ca="1">IF(F27&gt;G27,1,0)</f>
        <v>1</v>
      </c>
      <c r="G28" s="41">
        <f ca="1">IF(F28=1,0,1)</f>
        <v>0</v>
      </c>
      <c r="H28" s="41">
        <f ca="1">IF(H27&gt;I27,1,0)</f>
        <v>1</v>
      </c>
      <c r="I28" s="41">
        <f ca="1">IF(H28=1,0,1)</f>
        <v>0</v>
      </c>
      <c r="J28" s="41">
        <f ca="1">IF(J27&gt;K27,1,0)</f>
        <v>1</v>
      </c>
      <c r="K28" s="41">
        <f ca="1">IF(J28=1,0,1)</f>
        <v>0</v>
      </c>
      <c r="L28" s="41">
        <f ca="1">IF(L27&gt;M27,1,0)</f>
        <v>1</v>
      </c>
      <c r="M28" s="41">
        <f ca="1">IF(L28=1,0,1)</f>
        <v>0</v>
      </c>
      <c r="N28" s="41"/>
      <c r="O28" s="41"/>
      <c r="P28" s="41"/>
    </row>
    <row r="29" spans="1:23" x14ac:dyDescent="0.25">
      <c r="A29" s="78" t="s">
        <v>57</v>
      </c>
      <c r="B29" s="83" t="b">
        <v>1</v>
      </c>
      <c r="E29" s="41"/>
      <c r="F29" s="41"/>
      <c r="G29" s="41"/>
      <c r="H29" s="41"/>
      <c r="I29" s="41"/>
      <c r="J29" s="41"/>
      <c r="K29" s="41"/>
      <c r="L29" s="41"/>
      <c r="M29" s="41"/>
      <c r="N29" s="41"/>
      <c r="O29" s="41"/>
      <c r="P29" s="41"/>
    </row>
    <row r="30" spans="1:23" x14ac:dyDescent="0.25">
      <c r="B30" s="91" t="s">
        <v>72</v>
      </c>
      <c r="C30" s="91"/>
    </row>
    <row r="31" spans="1:23" x14ac:dyDescent="0.25">
      <c r="B31" s="91" t="s">
        <v>73</v>
      </c>
      <c r="C31" s="91"/>
    </row>
  </sheetData>
  <sheetProtection sheet="1" objects="1" scenarios="1" selectLockedCells="1"/>
  <mergeCells count="8">
    <mergeCell ref="L17:M17"/>
    <mergeCell ref="S18:U18"/>
    <mergeCell ref="D3:E3"/>
    <mergeCell ref="L15:M15"/>
    <mergeCell ref="L16:M16"/>
    <mergeCell ref="S9:U9"/>
    <mergeCell ref="G3:H3"/>
    <mergeCell ref="J3:K3"/>
  </mergeCells>
  <dataValidations count="1">
    <dataValidation type="list" allowBlank="1" showInputMessage="1" showErrorMessage="1" sqref="B29" xr:uid="{00000000-0002-0000-0300-000000000000}">
      <formula1>"TRUE,FALSE"</formula1>
    </dataValidation>
  </dataValidations>
  <printOptions horizontalCentered="1" verticalCentered="1"/>
  <pageMargins left="0.5" right="0.5" top="0.5" bottom="1" header="0.5" footer="0.5"/>
  <pageSetup orientation="landscape" r:id="rId1"/>
  <headerFooter alignWithMargins="0">
    <oddFooter>&amp;L&amp;"+,Regular"Garden Empire (geva.org)
Volleyball Assoc.&amp;R&amp;"+,Regular"Juniors' Tournament Packet
last modified: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37"/>
  <sheetViews>
    <sheetView showGridLines="0" workbookViewId="0">
      <selection activeCell="H18" sqref="H18:J18"/>
    </sheetView>
  </sheetViews>
  <sheetFormatPr defaultColWidth="8.6640625" defaultRowHeight="13.2" x14ac:dyDescent="0.25"/>
  <cols>
    <col min="1" max="11" width="8.6640625" style="41" customWidth="1"/>
    <col min="12" max="12" width="77.44140625" style="41" customWidth="1"/>
    <col min="13" max="16384" width="8.6640625" style="41"/>
  </cols>
  <sheetData>
    <row r="1" spans="2:11" ht="17.399999999999999" x14ac:dyDescent="0.3">
      <c r="B1" s="130" t="str">
        <f>Teams!F3</f>
        <v>0122 Downstate 14 Club #1 @Somers</v>
      </c>
      <c r="C1" s="130"/>
      <c r="D1" s="130"/>
      <c r="E1" s="130"/>
      <c r="F1" s="130"/>
      <c r="G1" s="130"/>
      <c r="H1" s="130"/>
      <c r="I1" s="130"/>
      <c r="J1" s="130"/>
      <c r="K1" s="101"/>
    </row>
    <row r="3" spans="2:11" ht="15" x14ac:dyDescent="0.25">
      <c r="C3" s="42" t="s">
        <v>24</v>
      </c>
      <c r="D3" s="171">
        <f>Teams!F5</f>
        <v>44948</v>
      </c>
      <c r="E3" s="171"/>
      <c r="G3" s="42" t="s">
        <v>25</v>
      </c>
      <c r="H3" s="172" t="str">
        <f>Teams!F4</f>
        <v>14C</v>
      </c>
      <c r="I3" s="151"/>
    </row>
    <row r="5" spans="2:11" ht="15" x14ac:dyDescent="0.25">
      <c r="C5" s="42" t="s">
        <v>26</v>
      </c>
      <c r="D5" s="151" t="str">
        <f>Teams!F2</f>
        <v>Somers</v>
      </c>
      <c r="E5" s="151"/>
      <c r="G5" s="42" t="s">
        <v>27</v>
      </c>
      <c r="H5" s="173">
        <f>Teams!F7</f>
        <v>1</v>
      </c>
      <c r="I5" s="151"/>
    </row>
    <row r="11" spans="2:11" x14ac:dyDescent="0.25">
      <c r="B11" s="104" t="str">
        <f>IF(ISBLANK('Pool A'!$M$19),"",VLOOKUP(1,'Pool A'!$M$9:$N$12,2,FALSE))</f>
        <v/>
      </c>
      <c r="C11" s="59"/>
      <c r="D11" s="59"/>
    </row>
    <row r="12" spans="2:11" s="59" customFormat="1" ht="16.2" customHeight="1" x14ac:dyDescent="0.25">
      <c r="B12" s="102" t="str">
        <f>"1st from Pool "&amp;Teams!$F$8</f>
        <v>1st from Pool A</v>
      </c>
      <c r="C12" s="105"/>
      <c r="D12" s="106"/>
      <c r="E12" s="160"/>
      <c r="F12" s="160"/>
      <c r="G12" s="160"/>
    </row>
    <row r="13" spans="2:11" s="59" customFormat="1" ht="16.2" customHeight="1" x14ac:dyDescent="0.25">
      <c r="B13" s="158" t="str">
        <f>"Court "&amp;Teams!$F$7&amp;", Match 1"</f>
        <v>Court 1, Match 1</v>
      </c>
      <c r="C13" s="158"/>
      <c r="D13" s="159"/>
      <c r="E13" s="162"/>
      <c r="F13" s="162"/>
      <c r="G13" s="162"/>
      <c r="H13" s="41"/>
      <c r="I13" s="41"/>
      <c r="J13" s="41"/>
    </row>
    <row r="14" spans="2:11" s="59" customFormat="1" ht="16.2" customHeight="1" x14ac:dyDescent="0.25">
      <c r="B14" s="152" t="str">
        <f>"Ref: "&amp;IF(B19="",B20,B19)</f>
        <v>Ref: 3rd from Pool A</v>
      </c>
      <c r="C14" s="152"/>
      <c r="D14" s="153"/>
      <c r="E14" s="165" t="s">
        <v>109</v>
      </c>
      <c r="F14" s="166"/>
      <c r="G14" s="167"/>
      <c r="H14" s="94"/>
      <c r="I14" s="41"/>
      <c r="J14" s="41"/>
    </row>
    <row r="15" spans="2:11" s="59" customFormat="1" ht="16.2" customHeight="1" x14ac:dyDescent="0.25">
      <c r="B15" s="156" t="str">
        <f>IF(ISBLANK('Pool A'!$M$19),"",VLOOKUP(4,'Pool A'!$M$9:$N$12,2,FALSE))</f>
        <v/>
      </c>
      <c r="C15" s="156"/>
      <c r="D15" s="157"/>
      <c r="E15" s="168" t="str">
        <f>IF(E14="Results here","",IF(LEN(SUBSTITUTE(E14,",",""))-LEN(SUBSTITUTE(E14,"-",""))=1,IF(AND(ISNUMBER(LEFT(E14,FIND("-",E14)-1)*1),IF(LEN(E14)-LEN(SUBSTITUTE(E14,"-",""))=1,AND(ISNUMBER(RIGHT(E14,LEN(E14)-FIND("-",E14))*1),LEFT(E14,FIND("-",E14)-1)*1&gt;RIGHT(E14,LEN(E14)-FIND("-",E14))*1+1),AND(ISNUMBER(MID(E14,FIND("-",E14)+1,FIND(",",E14)-FIND("-",E14)-1)*1),ISNUMBER(MID(E14,FIND(",",E14)+1,FIND("-",E14,FIND(",",E14))-FIND(",",E14)-1)*1),IF(LEN(E14)-LEN(SUBSTITUTE(E14,"-",""))=2,AND(ISNUMBER(RIGHT(E14,LEN(E14)-FIND("-",E14,FIND(",",E14)))*1),LEFT(E14,FIND("-",E14)-1)*1&gt;MID(E14,FIND("-",E14)+1,FIND(",",E14)-FIND("-",E14)-1)*1+1,MID(E14,FIND(",",E14)+1,FIND("-",E14,FIND(",",E14))-FIND(",",E14)-1)*1&gt;RIGHT(E14,LEN(E14)-FIND("-",E14,FIND(",",E14)))*1+1),AND(ISNUMBER(MID(E14,FIND("-",E14,FIND(",",E14))+1,FIND("$",SUBSTITUTE(E14,",","$",2))-FIND("-",E14,FIND(",",E14))-1)*1),ISNUMBER(MID(E14,FIND("$",SUBSTITUTE(E14,",","$",2))+1,FIND("$",SUBSTITUTE(E14,"-","$",3))-FIND("$",SUBSTITUTE(E14,",","$",2))-1)*1),IF(LEN(E14)-LEN(SUBSTITUTE(E14,"-",""))=3,AND(ISNUMBER(RIGHT(E14,LEN(E14)-FIND("$",SUBSTITUTE(E14,"-","$",3)))*1),MID(E14,FIND("$",SUBSTITUTE(E14,",","$",2))+1,FIND("$",SUBSTITUTE(E14,"-","$",3))-FIND("$",SUBSTITUTE(E14,",","$",2))-1)*1&gt;RIGHT(E14,LEN(E14)-FIND("$",SUBSTITUTE(E14,"-","$",3)))*1+1),FALSE)))))),"","Results format ERROR!"),"ERROR! Please enter a valid score."))</f>
        <v/>
      </c>
      <c r="F15" s="169"/>
      <c r="G15" s="170"/>
      <c r="H15" s="94"/>
      <c r="I15" s="41"/>
      <c r="J15" s="41"/>
    </row>
    <row r="16" spans="2:11" ht="16.2" customHeight="1" x14ac:dyDescent="0.25">
      <c r="B16" s="102" t="str">
        <f>"4th from Pool "&amp;Teams!$F$8</f>
        <v>4th from Pool A</v>
      </c>
      <c r="C16" s="108"/>
      <c r="D16" s="108"/>
      <c r="G16" s="93"/>
      <c r="H16" s="94"/>
      <c r="K16" s="59"/>
    </row>
    <row r="17" spans="1:12" ht="16.2" customHeight="1" x14ac:dyDescent="0.25">
      <c r="E17" s="158" t="str">
        <f>"Court "&amp;Teams!$F$7&amp;", Finals"</f>
        <v>Court 1, Finals</v>
      </c>
      <c r="F17" s="158"/>
      <c r="G17" s="159"/>
      <c r="H17" s="161"/>
      <c r="I17" s="162"/>
      <c r="J17" s="162"/>
      <c r="L17" s="103" t="s">
        <v>75</v>
      </c>
    </row>
    <row r="18" spans="1:12" s="59" customFormat="1" ht="16.2" customHeight="1" x14ac:dyDescent="0.25">
      <c r="E18" s="152" t="str">
        <f>"Ref: "&amp;IF(E21="","Loser C1M2",IF(E21=B19,B23,B19))</f>
        <v>Ref: Loser C1M2</v>
      </c>
      <c r="F18" s="152"/>
      <c r="G18" s="153"/>
      <c r="H18" s="165" t="s">
        <v>109</v>
      </c>
      <c r="I18" s="155"/>
      <c r="J18" s="155"/>
      <c r="K18" s="41"/>
      <c r="L18" s="98" t="s">
        <v>76</v>
      </c>
    </row>
    <row r="19" spans="1:12" s="59" customFormat="1" ht="16.2" customHeight="1" x14ac:dyDescent="0.25">
      <c r="B19" s="104" t="str">
        <f>IF(ISBLANK('Pool A'!$M$19),"",VLOOKUP(3,'Pool A'!$M$9:$N$12,2,FALSE))</f>
        <v/>
      </c>
      <c r="E19" s="41"/>
      <c r="F19" s="41"/>
      <c r="G19" s="93"/>
      <c r="H19" s="164" t="str">
        <f>IF(H18="Results here","",IF(LEN(SUBSTITUTE(H18,",",""))-LEN(SUBSTITUTE(H18,"-",""))=1,IF(AND(ISNUMBER(LEFT(H18,FIND("-",H18)-1)*1),IF(LEN(H18)-LEN(SUBSTITUTE(H18,"-",""))=1,AND(ISNUMBER(RIGHT(H18,LEN(H18)-FIND("-",H18))*1),LEFT(H18,FIND("-",H18)-1)*1&gt;RIGHT(H18,LEN(H18)-FIND("-",H18))*1+1),AND(ISNUMBER(MID(H18,FIND("-",H18)+1,FIND(",",H18)-FIND("-",H18)-1)*1),ISNUMBER(MID(H18,FIND(",",H18)+1,FIND("-",H18,FIND(",",H18))-FIND(",",H18)-1)*1),IF(LEN(H18)-LEN(SUBSTITUTE(H18,"-",""))=2,AND(ISNUMBER(RIGHT(H18,LEN(H18)-FIND("-",H18,FIND(",",H18)))*1),LEFT(H18,FIND("-",H18)-1)*1&gt;MID(H18,FIND("-",H18)+1,FIND(",",H18)-FIND("-",H18)-1)*1+1,MID(H18,FIND(",",H18)+1,FIND("-",H18,FIND(",",H18))-FIND(",",H18)-1)*1&gt;RIGHT(H18,LEN(H18)-FIND("-",H18,FIND(",",H18)))*1+1),AND(ISNUMBER(MID(H18,FIND("-",H18,FIND(",",H18))+1,FIND("$",SUBSTITUTE(H18,",","$",2))-FIND("-",H18,FIND(",",H18))-1)*1),ISNUMBER(MID(H18,FIND("$",SUBSTITUTE(H18,",","$",2))+1,FIND("$",SUBSTITUTE(H18,"-","$",3))-FIND("$",SUBSTITUTE(H18,",","$",2))-1)*1),IF(LEN(H18)-LEN(SUBSTITUTE(H18,"-",""))=3,AND(ISNUMBER(RIGHT(H18,LEN(H18)-FIND("$",SUBSTITUTE(H18,"-","$",3)))*1),MID(H18,FIND("$",SUBSTITUTE(H18,",","$",2))+1,FIND("$",SUBSTITUTE(H18,"-","$",3))-FIND("$",SUBSTITUTE(H18,",","$",2))-1)*1&gt;RIGHT(H18,LEN(H18)-FIND("$",SUBSTITUTE(H18,"-","$",3)))*1+1),FALSE)))))),"","Results format ERROR!"),"ERROR! Please enter a valid score."))</f>
        <v/>
      </c>
      <c r="I19" s="160"/>
      <c r="J19" s="160"/>
      <c r="L19" s="98" t="s">
        <v>77</v>
      </c>
    </row>
    <row r="20" spans="1:12" ht="16.2" customHeight="1" x14ac:dyDescent="0.25">
      <c r="B20" s="102" t="str">
        <f>"3rd from Pool "&amp;Teams!$F$8</f>
        <v>3rd from Pool A</v>
      </c>
      <c r="C20" s="105"/>
      <c r="D20" s="106"/>
      <c r="G20" s="93"/>
      <c r="H20" s="94"/>
      <c r="K20" s="59"/>
      <c r="L20" s="107" t="s">
        <v>78</v>
      </c>
    </row>
    <row r="21" spans="1:12" ht="16.2" customHeight="1" x14ac:dyDescent="0.25">
      <c r="B21" s="158" t="str">
        <f>"Court "&amp;Teams!$F$7&amp;", Match 2"</f>
        <v>Court 1, Match 2</v>
      </c>
      <c r="C21" s="158"/>
      <c r="D21" s="159"/>
      <c r="E21" s="161"/>
      <c r="F21" s="162"/>
      <c r="G21" s="163"/>
      <c r="H21" s="94"/>
    </row>
    <row r="22" spans="1:12" ht="16.2" customHeight="1" x14ac:dyDescent="0.25">
      <c r="B22" s="152" t="str">
        <f>"Ref: "&amp;IF(E13="","Loser C1M1",IF(E13=B11,B15,B11))</f>
        <v>Ref: Loser C1M1</v>
      </c>
      <c r="C22" s="152"/>
      <c r="D22" s="153"/>
      <c r="E22" s="154" t="s">
        <v>109</v>
      </c>
      <c r="F22" s="155"/>
      <c r="G22" s="155"/>
    </row>
    <row r="23" spans="1:12" ht="16.2" customHeight="1" x14ac:dyDescent="0.25">
      <c r="B23" s="156" t="str">
        <f>IF(ISBLANK('Pool A'!$M$19),"",VLOOKUP(2,'Pool A'!$M$9:$N$12,2,FALSE))</f>
        <v/>
      </c>
      <c r="C23" s="156"/>
      <c r="D23" s="157"/>
      <c r="E23" s="164" t="str">
        <f>IF(E22="Results here","",IF(LEN(SUBSTITUTE(E22,",",""))-LEN(SUBSTITUTE(E22,"-",""))=1,IF(AND(ISNUMBER(LEFT(E22,FIND("-",E22)-1)*1),IF(LEN(E22)-LEN(SUBSTITUTE(E22,"-",""))=1,AND(ISNUMBER(RIGHT(E22,LEN(E22)-FIND("-",E22))*1),LEFT(E22,FIND("-",E22)-1)*1&gt;RIGHT(E22,LEN(E22)-FIND("-",E22))*1+1),AND(ISNUMBER(MID(E22,FIND("-",E22)+1,FIND(",",E22)-FIND("-",E22)-1)*1),ISNUMBER(MID(E22,FIND(",",E22)+1,FIND("-",E22,FIND(",",E22))-FIND(",",E22)-1)*1),IF(LEN(E22)-LEN(SUBSTITUTE(E22,"-",""))=2,AND(ISNUMBER(RIGHT(E22,LEN(E22)-FIND("-",E22,FIND(",",E22)))*1),LEFT(E22,FIND("-",E22)-1)*1&gt;MID(E22,FIND("-",E22)+1,FIND(",",E22)-FIND("-",E22)-1)*1+1,MID(E22,FIND(",",E22)+1,FIND("-",E22,FIND(",",E22))-FIND(",",E22)-1)*1&gt;RIGHT(E22,LEN(E22)-FIND("-",E22,FIND(",",E22)))*1+1),AND(ISNUMBER(MID(E22,FIND("-",E22,FIND(",",E22))+1,FIND("$",SUBSTITUTE(E22,",","$",2))-FIND("-",E22,FIND(",",E22))-1)*1),ISNUMBER(MID(E22,FIND("$",SUBSTITUTE(E22,",","$",2))+1,FIND("$",SUBSTITUTE(E22,"-","$",3))-FIND("$",SUBSTITUTE(E22,",","$",2))-1)*1),IF(LEN(E22)-LEN(SUBSTITUTE(E22,"-",""))=3,AND(ISNUMBER(RIGHT(E22,LEN(E22)-FIND("$",SUBSTITUTE(E22,"-","$",3)))*1),MID(E22,FIND("$",SUBSTITUTE(E22,",","$",2))+1,FIND("$",SUBSTITUTE(E22,"-","$",3))-FIND("$",SUBSTITUTE(E22,",","$",2))-1)*1&gt;RIGHT(E22,LEN(E22)-FIND("$",SUBSTITUTE(E22,"-","$",3)))*1+1),FALSE)))))),"","Results format ERROR!"),"ERROR! Please enter a valid score."))</f>
        <v/>
      </c>
      <c r="F23" s="160"/>
      <c r="G23" s="160"/>
    </row>
    <row r="24" spans="1:12" ht="16.2" customHeight="1" x14ac:dyDescent="0.25">
      <c r="B24" s="102" t="str">
        <f>"2nd from Pool "&amp;Teams!$F$8</f>
        <v>2nd from Pool A</v>
      </c>
      <c r="C24" s="108"/>
      <c r="D24" s="108"/>
      <c r="H24" s="160"/>
      <c r="I24" s="160"/>
      <c r="J24" s="160"/>
      <c r="K24" s="109"/>
    </row>
    <row r="29" spans="1:12" hidden="1" x14ac:dyDescent="0.25">
      <c r="A29" s="110" t="str">
        <f>B13</f>
        <v>Court 1, Match 1</v>
      </c>
    </row>
    <row r="30" spans="1:12" hidden="1" x14ac:dyDescent="0.25">
      <c r="A30" s="41" t="str">
        <f>B11</f>
        <v/>
      </c>
    </row>
    <row r="31" spans="1:12" hidden="1" x14ac:dyDescent="0.25">
      <c r="A31" s="41" t="str">
        <f>B15</f>
        <v/>
      </c>
    </row>
    <row r="32" spans="1:12" hidden="1" x14ac:dyDescent="0.25">
      <c r="A32" s="110" t="str">
        <f>B21</f>
        <v>Court 1, Match 2</v>
      </c>
    </row>
    <row r="33" spans="1:1" hidden="1" x14ac:dyDescent="0.25">
      <c r="A33" s="41" t="str">
        <f>B19</f>
        <v/>
      </c>
    </row>
    <row r="34" spans="1:1" hidden="1" x14ac:dyDescent="0.25">
      <c r="A34" s="41" t="str">
        <f>B23</f>
        <v/>
      </c>
    </row>
    <row r="35" spans="1:1" hidden="1" x14ac:dyDescent="0.25">
      <c r="A35" s="110" t="str">
        <f>E17</f>
        <v>Court 1, Finals</v>
      </c>
    </row>
    <row r="36" spans="1:1" hidden="1" x14ac:dyDescent="0.25">
      <c r="A36" s="41">
        <f>E13</f>
        <v>0</v>
      </c>
    </row>
    <row r="37" spans="1:1" hidden="1" x14ac:dyDescent="0.25">
      <c r="A37" s="41">
        <f>E21</f>
        <v>0</v>
      </c>
    </row>
  </sheetData>
  <sheetProtection sheet="1" objects="1" scenarios="1" selectLockedCells="1"/>
  <mergeCells count="24">
    <mergeCell ref="E12:G12"/>
    <mergeCell ref="B1:J1"/>
    <mergeCell ref="D3:E3"/>
    <mergeCell ref="H3:I3"/>
    <mergeCell ref="D5:E5"/>
    <mergeCell ref="H5:I5"/>
    <mergeCell ref="H19:J19"/>
    <mergeCell ref="B13:D13"/>
    <mergeCell ref="B14:D14"/>
    <mergeCell ref="B15:D15"/>
    <mergeCell ref="E14:G14"/>
    <mergeCell ref="E15:G15"/>
    <mergeCell ref="E13:G13"/>
    <mergeCell ref="E17:G17"/>
    <mergeCell ref="H17:J17"/>
    <mergeCell ref="E18:G18"/>
    <mergeCell ref="H18:J18"/>
    <mergeCell ref="B22:D22"/>
    <mergeCell ref="E22:G22"/>
    <mergeCell ref="B23:D23"/>
    <mergeCell ref="B21:D21"/>
    <mergeCell ref="H24:J24"/>
    <mergeCell ref="E21:G21"/>
    <mergeCell ref="E23:G23"/>
  </mergeCells>
  <phoneticPr fontId="19" type="noConversion"/>
  <dataValidations count="4">
    <dataValidation type="list" allowBlank="1" showInputMessage="1" showErrorMessage="1" sqref="K24" xr:uid="{00000000-0002-0000-0400-000000000000}">
      <formula1>#REF!</formula1>
    </dataValidation>
    <dataValidation type="list" allowBlank="1" showInputMessage="1" showErrorMessage="1" sqref="E21:G21" xr:uid="{00000000-0002-0000-0400-000001000000}">
      <formula1>$A$33:$A$34</formula1>
    </dataValidation>
    <dataValidation type="list" allowBlank="1" showInputMessage="1" showErrorMessage="1" sqref="H17:J17" xr:uid="{00000000-0002-0000-0400-000002000000}">
      <formula1>$A$36:$A$37</formula1>
    </dataValidation>
    <dataValidation type="list" allowBlank="1" showInputMessage="1" showErrorMessage="1" sqref="E13:G13" xr:uid="{00000000-0002-0000-0400-000003000000}">
      <formula1>$A$30:$A$31</formula1>
    </dataValidation>
  </dataValidations>
  <printOptions horizontalCentered="1"/>
  <pageMargins left="0.25" right="0.25" top="0.75" bottom="0.5" header="0.5" footer="0.25"/>
  <pageSetup orientation="landscape" horizontalDpi="300" verticalDpi="300" r:id="rId1"/>
  <headerFooter alignWithMargins="0">
    <oddFooter>&amp;R&amp;"+,Regular"&amp;8last modified: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L7"/>
  <sheetViews>
    <sheetView workbookViewId="0">
      <selection activeCell="K2" sqref="K2"/>
    </sheetView>
  </sheetViews>
  <sheetFormatPr defaultColWidth="8.6640625" defaultRowHeight="14.4" x14ac:dyDescent="0.3"/>
  <cols>
    <col min="1" max="1" width="19.77734375" bestFit="1" customWidth="1"/>
    <col min="2" max="2" width="11.77734375" bestFit="1" customWidth="1"/>
    <col min="3" max="3" width="20.44140625" bestFit="1" customWidth="1"/>
    <col min="4" max="4" width="19.109375" bestFit="1" customWidth="1"/>
    <col min="5" max="5" width="10.77734375" bestFit="1" customWidth="1"/>
    <col min="6" max="6" width="11" bestFit="1" customWidth="1"/>
    <col min="7" max="7" width="8.77734375" bestFit="1" customWidth="1"/>
    <col min="8" max="12" width="7.109375" bestFit="1" customWidth="1"/>
  </cols>
  <sheetData>
    <row r="1" spans="1:12" ht="15" thickBot="1" x14ac:dyDescent="0.35">
      <c r="A1" s="118" t="s">
        <v>28</v>
      </c>
      <c r="B1" s="118" t="s">
        <v>114</v>
      </c>
      <c r="C1" s="123" t="s">
        <v>115</v>
      </c>
      <c r="D1" s="123" t="s">
        <v>116</v>
      </c>
      <c r="E1" s="124" t="s">
        <v>117</v>
      </c>
      <c r="F1" s="124" t="s">
        <v>118</v>
      </c>
      <c r="G1" s="124" t="s">
        <v>119</v>
      </c>
      <c r="H1" s="125" t="s">
        <v>120</v>
      </c>
      <c r="I1" s="125" t="s">
        <v>121</v>
      </c>
      <c r="J1" s="125" t="s">
        <v>122</v>
      </c>
      <c r="K1" s="125" t="s">
        <v>123</v>
      </c>
      <c r="L1" s="125" t="s">
        <v>124</v>
      </c>
    </row>
    <row r="2" spans="1:12" x14ac:dyDescent="0.3">
      <c r="A2" t="str">
        <f>'Pool A'!$B$9</f>
        <v>Downstate 14 White</v>
      </c>
      <c r="B2" t="str">
        <f>LOWER('Pool A'!E$9)</f>
        <v>g14dstjr3ge</v>
      </c>
      <c r="C2" t="str">
        <f>'Pool A'!$B$11</f>
        <v>OC Lady Elite 14 Black</v>
      </c>
      <c r="D2" t="str">
        <f>LOWER('Pool A'!E$11)</f>
        <v>g14oclev1ge</v>
      </c>
      <c r="E2" s="126">
        <f t="shared" ref="E2:E7" si="0">tDate</f>
        <v>44948</v>
      </c>
      <c r="F2" s="127">
        <v>0.375</v>
      </c>
      <c r="G2" s="99" t="str">
        <f>IF('Pool A'!$B$25,"Won",IF('Pool A'!$C$25,"Lost","Tie"))</f>
        <v>Tie</v>
      </c>
      <c r="H2" s="99" t="str">
        <f>'Pool A'!$B$18&amp;"-"&amp;'Pool A'!$C$18</f>
        <v>-</v>
      </c>
      <c r="I2" s="99" t="str">
        <f>'Pool A'!$B$19&amp;"-"&amp;'Pool A'!$C$19</f>
        <v>-</v>
      </c>
      <c r="J2" s="99" t="str">
        <f>IF(ISNUMBER('Pool A'!$B$20),'Pool A'!$B$20&amp;"-"&amp;'Pool A'!$C$20,"")</f>
        <v/>
      </c>
      <c r="K2" s="99"/>
      <c r="L2" s="99"/>
    </row>
    <row r="3" spans="1:12" x14ac:dyDescent="0.3">
      <c r="A3" t="str">
        <f>'Pool A'!$B$10</f>
        <v>Downstate 14 Blue</v>
      </c>
      <c r="B3" t="str">
        <f>LOWER('Pool A'!E$10)</f>
        <v>g14dstjr4ge</v>
      </c>
      <c r="C3" t="str">
        <f>'Pool A'!$B$12</f>
        <v>Oxygen - 14U</v>
      </c>
      <c r="D3" t="str">
        <f>LOWER('Pool A'!E$12)</f>
        <v>g14o2vbc1ge</v>
      </c>
      <c r="E3" s="126">
        <f t="shared" si="0"/>
        <v>44948</v>
      </c>
      <c r="F3" s="127">
        <v>0.41666666666666669</v>
      </c>
      <c r="G3" s="99" t="str">
        <f>IF('Pool A'!$D$25,"Won",IF('Pool A'!$E$25,"Lost","Tie"))</f>
        <v>Tie</v>
      </c>
      <c r="H3" s="99" t="str">
        <f>'Pool A'!$D$18&amp;"-"&amp;'Pool A'!$E$18</f>
        <v>-</v>
      </c>
      <c r="I3" s="99" t="str">
        <f>'Pool A'!$D$19&amp;"-"&amp;'Pool A'!$E$19</f>
        <v>-</v>
      </c>
      <c r="J3" s="99" t="str">
        <f>IF(ISNUMBER('Pool A'!$D$20),'Pool A'!$D$20&amp;"-"&amp;'Pool A'!$E$20,"")</f>
        <v/>
      </c>
      <c r="K3" s="99"/>
      <c r="L3" s="99"/>
    </row>
    <row r="4" spans="1:12" x14ac:dyDescent="0.3">
      <c r="A4" t="str">
        <f>'Pool A'!$B$9</f>
        <v>Downstate 14 White</v>
      </c>
      <c r="B4" t="str">
        <f>LOWER('Pool A'!E$9)</f>
        <v>g14dstjr3ge</v>
      </c>
      <c r="C4" t="str">
        <f>'Pool A'!$B$12</f>
        <v>Oxygen - 14U</v>
      </c>
      <c r="D4" t="str">
        <f>LOWER('Pool A'!E$12)</f>
        <v>g14o2vbc1ge</v>
      </c>
      <c r="E4" s="126">
        <f t="shared" si="0"/>
        <v>44948</v>
      </c>
      <c r="F4" s="127">
        <v>0.45833333333333331</v>
      </c>
      <c r="G4" s="99" t="str">
        <f>IF('Pool A'!$F$25,"Won",IF('Pool A'!$G$25,"Lost","Tie"))</f>
        <v>Tie</v>
      </c>
      <c r="H4" s="99" t="str">
        <f>'Pool A'!$F$18&amp;"-"&amp;'Pool A'!$G$18</f>
        <v>-</v>
      </c>
      <c r="I4" s="99" t="str">
        <f>'Pool A'!$F$19&amp;"-"&amp;'Pool A'!$G$19</f>
        <v>-</v>
      </c>
      <c r="J4" s="99" t="str">
        <f>IF(ISNUMBER('Pool A'!$F$20),'Pool A'!$F$20&amp;"-"&amp;'Pool A'!$G$20,"")</f>
        <v/>
      </c>
      <c r="K4" s="99"/>
      <c r="L4" s="99"/>
    </row>
    <row r="5" spans="1:12" x14ac:dyDescent="0.3">
      <c r="A5" t="str">
        <f>'Pool A'!$B$10</f>
        <v>Downstate 14 Blue</v>
      </c>
      <c r="B5" t="str">
        <f>LOWER('Pool A'!E$10)</f>
        <v>g14dstjr4ge</v>
      </c>
      <c r="C5" t="str">
        <f>'Pool A'!$B$11</f>
        <v>OC Lady Elite 14 Black</v>
      </c>
      <c r="D5" t="str">
        <f>LOWER('Pool A'!E$11)</f>
        <v>g14oclev1ge</v>
      </c>
      <c r="E5" s="126">
        <f t="shared" si="0"/>
        <v>44948</v>
      </c>
      <c r="F5" s="127">
        <v>0</v>
      </c>
      <c r="G5" s="99" t="str">
        <f>IF('Pool A'!$H$25,"Won",IF('Pool A'!$I$25,"Lost","Tie"))</f>
        <v>Tie</v>
      </c>
      <c r="H5" s="99" t="str">
        <f>'Pool A'!$H$18&amp;"-"&amp;'Pool A'!$I$18</f>
        <v>-</v>
      </c>
      <c r="I5" s="99" t="str">
        <f>'Pool A'!$H$19&amp;"-"&amp;'Pool A'!$I$19</f>
        <v>-</v>
      </c>
      <c r="J5" s="99" t="str">
        <f>IF(ISNUMBER('Pool A'!$H$20),'Pool A'!$H$20&amp;"-"&amp;'Pool A'!$I$20,"")</f>
        <v/>
      </c>
      <c r="K5" s="99"/>
      <c r="L5" s="99"/>
    </row>
    <row r="6" spans="1:12" x14ac:dyDescent="0.3">
      <c r="A6" t="str">
        <f>'Pool A'!$B$11</f>
        <v>OC Lady Elite 14 Black</v>
      </c>
      <c r="B6" t="str">
        <f>LOWER('Pool A'!E$11)</f>
        <v>g14oclev1ge</v>
      </c>
      <c r="C6" t="str">
        <f>'Pool A'!$B$12</f>
        <v>Oxygen - 14U</v>
      </c>
      <c r="D6" t="str">
        <f>LOWER('Pool A'!E$12)</f>
        <v>g14o2vbc1ge</v>
      </c>
      <c r="E6" s="126">
        <f t="shared" si="0"/>
        <v>44948</v>
      </c>
      <c r="F6" s="127">
        <v>0.54166666666666663</v>
      </c>
      <c r="G6" s="99" t="str">
        <f>IF('Pool A'!$J$25,"Won",IF('Pool A'!$K$25,"Lost","Tie"))</f>
        <v>Tie</v>
      </c>
      <c r="H6" s="99" t="str">
        <f>'Pool A'!$J$18&amp;"-"&amp;'Pool A'!$K$18</f>
        <v>-</v>
      </c>
      <c r="I6" s="99" t="str">
        <f>'Pool A'!$J$19&amp;"-"&amp;'Pool A'!$K$19</f>
        <v>-</v>
      </c>
      <c r="J6" s="99" t="str">
        <f>IF(ISNUMBER('Pool A'!$J$20),'Pool A'!$J$20&amp;"-"&amp;'Pool A'!$K$20,"")</f>
        <v/>
      </c>
      <c r="K6" s="99"/>
      <c r="L6" s="99"/>
    </row>
    <row r="7" spans="1:12" x14ac:dyDescent="0.3">
      <c r="A7" t="str">
        <f>'Pool A'!$B$9</f>
        <v>Downstate 14 White</v>
      </c>
      <c r="B7" t="str">
        <f>LOWER('Pool A'!E$9)</f>
        <v>g14dstjr3ge</v>
      </c>
      <c r="C7" t="str">
        <f>'Pool A'!$B$10</f>
        <v>Downstate 14 Blue</v>
      </c>
      <c r="D7" t="str">
        <f>LOWER('Pool A'!E$10)</f>
        <v>g14dstjr4ge</v>
      </c>
      <c r="E7" s="126">
        <f t="shared" si="0"/>
        <v>44948</v>
      </c>
      <c r="F7" s="127">
        <v>0.58333333333333337</v>
      </c>
      <c r="G7" s="99" t="str">
        <f>IF('Pool A'!$L$25,"Won",IF('Pool A'!$M$25,"Lost","Tie"))</f>
        <v>Tie</v>
      </c>
      <c r="H7" s="99" t="str">
        <f>'Pool A'!$L$18&amp;"-"&amp;'Pool A'!$M$18</f>
        <v>-</v>
      </c>
      <c r="I7" s="99" t="str">
        <f>'Pool A'!$L$19&amp;"-"&amp;'Pool A'!$M$19</f>
        <v>-</v>
      </c>
      <c r="J7" s="99" t="str">
        <f>IF(ISNUMBER('Pool A'!$L$20),'Pool A'!$L$20&amp;"-"&amp;'Pool A'!$M$20,"")</f>
        <v/>
      </c>
      <c r="K7" s="99"/>
      <c r="L7" s="99"/>
    </row>
  </sheetData>
  <sheetProtection sheet="1" objects="1" scenarios="1" selectLockedCells="1" selectUnlockedCells="1"/>
  <pageMargins left="0.7" right="0.7" top="0.75" bottom="0.75" header="0.3" footer="0.3"/>
  <pageSetup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7"/>
  <sheetViews>
    <sheetView workbookViewId="0">
      <selection activeCell="K3" sqref="K3"/>
    </sheetView>
  </sheetViews>
  <sheetFormatPr defaultColWidth="8.6640625" defaultRowHeight="14.4" x14ac:dyDescent="0.3"/>
  <cols>
    <col min="1" max="1" width="6.5546875" bestFit="1" customWidth="1"/>
    <col min="2" max="2" width="7.6640625" bestFit="1" customWidth="1"/>
    <col min="3" max="4" width="7.77734375" style="99" bestFit="1" customWidth="1"/>
    <col min="5" max="5" width="18.44140625" style="99" bestFit="1" customWidth="1"/>
    <col min="6" max="6" width="11" bestFit="1" customWidth="1"/>
    <col min="7" max="7" width="20.6640625" bestFit="1" customWidth="1"/>
    <col min="8" max="8" width="11.77734375" bestFit="1" customWidth="1"/>
    <col min="9" max="9" width="6.109375" bestFit="1" customWidth="1"/>
    <col min="10" max="10" width="16" bestFit="1" customWidth="1"/>
    <col min="11" max="11" width="20" bestFit="1" customWidth="1"/>
    <col min="12" max="12" width="37.44140625" bestFit="1" customWidth="1"/>
    <col min="13" max="13" width="10.33203125" bestFit="1" customWidth="1"/>
    <col min="14" max="14" width="7" bestFit="1" customWidth="1"/>
  </cols>
  <sheetData>
    <row r="1" spans="1:14" s="118" customFormat="1" x14ac:dyDescent="0.3">
      <c r="A1" s="118" t="s">
        <v>87</v>
      </c>
      <c r="B1" s="118" t="s">
        <v>7</v>
      </c>
      <c r="C1" s="117" t="s">
        <v>94</v>
      </c>
      <c r="D1" s="117" t="s">
        <v>95</v>
      </c>
      <c r="E1" s="117" t="s">
        <v>125</v>
      </c>
      <c r="F1" s="118" t="s">
        <v>126</v>
      </c>
      <c r="G1" s="117" t="s">
        <v>127</v>
      </c>
      <c r="H1" s="118" t="s">
        <v>128</v>
      </c>
      <c r="I1" s="118" t="s">
        <v>88</v>
      </c>
      <c r="J1" s="118" t="s">
        <v>89</v>
      </c>
      <c r="K1" s="118" t="s">
        <v>81</v>
      </c>
      <c r="L1" s="118" t="s">
        <v>79</v>
      </c>
      <c r="M1" s="128" t="s">
        <v>90</v>
      </c>
      <c r="N1" s="118" t="s">
        <v>91</v>
      </c>
    </row>
    <row r="2" spans="1:14" x14ac:dyDescent="0.3">
      <c r="A2" t="str">
        <f t="shared" ref="A2:A7" si="0">"Pool "&amp;FirstPool</f>
        <v>Pool A</v>
      </c>
      <c r="B2" s="97" t="s">
        <v>38</v>
      </c>
      <c r="C2" s="100"/>
      <c r="D2" s="100"/>
      <c r="E2" t="str">
        <f>'Pool A'!$B$9</f>
        <v>Downstate 14 White</v>
      </c>
      <c r="F2" t="str">
        <f>LOWER('Pool A'!$E$9)</f>
        <v>g14dstjr3ge</v>
      </c>
      <c r="G2" t="str">
        <f>'Pool A'!$B$11</f>
        <v>OC Lady Elite 14 Black</v>
      </c>
      <c r="H2" t="str">
        <f>LOWER('Pool A'!$E$11)</f>
        <v>g14oclev1ge</v>
      </c>
      <c r="I2" t="str">
        <f>IF(J2="","",IF('Pool A'!$B$25,"Won",IF('Pool A'!$C$25,"Lost","Tie")))</f>
        <v/>
      </c>
      <c r="J2" t="str">
        <f>IF(SUM('Pool A'!$B$24:$C$24)=3,'Pool A'!$B$18&amp;"-"&amp;'Pool A'!$C$18&amp;","&amp;'Pool A'!$B$19&amp;"-"&amp;'Pool A'!$C$19&amp;","&amp;'Pool A'!$B$20&amp;"-"&amp;'Pool A'!$C$20,IF(SUM('Pool A'!$B$24:$C$24)=2,'Pool A'!$B$18&amp;"-"&amp;'Pool A'!$C$18&amp;","&amp;'Pool A'!$B$19&amp;"-"&amp;'Pool A'!$C$19,IF(SUM('Pool A'!$B$24:$C$24)=1,'Pool A'!$B$18&amp;"-"&amp;'Pool A'!$C$18,"")))</f>
        <v/>
      </c>
      <c r="K2" t="str">
        <f>Event</f>
        <v>0122 Downstate 14 Club #1 @Somers</v>
      </c>
      <c r="L2" t="str">
        <f>Venue</f>
        <v>Somers Sports Arena</v>
      </c>
      <c r="M2" s="96">
        <f>tDate</f>
        <v>44948</v>
      </c>
      <c r="N2" t="str">
        <f>Division</f>
        <v>14C</v>
      </c>
    </row>
    <row r="3" spans="1:14" x14ac:dyDescent="0.3">
      <c r="A3" t="str">
        <f t="shared" si="0"/>
        <v>Pool A</v>
      </c>
      <c r="B3" s="97" t="s">
        <v>39</v>
      </c>
      <c r="C3" s="100"/>
      <c r="D3" s="100"/>
      <c r="E3" t="str">
        <f>'Pool A'!$B$10</f>
        <v>Downstate 14 Blue</v>
      </c>
      <c r="F3" t="str">
        <f>LOWER('Pool A'!$E$10)</f>
        <v>g14dstjr4ge</v>
      </c>
      <c r="G3" t="str">
        <f>'Pool A'!$B$12</f>
        <v>Oxygen - 14U</v>
      </c>
      <c r="H3" t="str">
        <f>LOWER('Pool A'!$E$12)</f>
        <v>g14o2vbc1ge</v>
      </c>
      <c r="I3" t="str">
        <f>IF(J3="","",IF('Pool A'!$D$25,"Won",IF('Pool A'!$E$25,"Lost","Tie")))</f>
        <v/>
      </c>
      <c r="J3" t="str">
        <f>IF(SUM('Pool A'!$D$24:$E$24)=3,'Pool A'!$D$18&amp;"-"&amp;'Pool A'!$E$18&amp;","&amp;'Pool A'!$D$19&amp;"-"&amp;'Pool A'!$E$19&amp;","&amp;'Pool A'!$D$20&amp;"-"&amp;'Pool A'!$E$20,IF(SUM('Pool A'!$D$24:$E$24)=2,'Pool A'!$D$18&amp;"-"&amp;'Pool A'!$E$18&amp;","&amp;'Pool A'!$D$19&amp;"-"&amp;'Pool A'!$E$19,IF(SUM('Pool A'!$D$24:$E$24)=1,'Pool A'!$D$18&amp;"-"&amp;'Pool A'!$E$18,"")))</f>
        <v/>
      </c>
    </row>
    <row r="4" spans="1:14" x14ac:dyDescent="0.3">
      <c r="A4" t="str">
        <f t="shared" si="0"/>
        <v>Pool A</v>
      </c>
      <c r="B4" s="97" t="s">
        <v>40</v>
      </c>
      <c r="C4" s="100"/>
      <c r="D4" s="100"/>
      <c r="E4" t="str">
        <f>'Pool A'!$B$9</f>
        <v>Downstate 14 White</v>
      </c>
      <c r="F4" t="str">
        <f>LOWER('Pool A'!$E$9)</f>
        <v>g14dstjr3ge</v>
      </c>
      <c r="G4" t="str">
        <f>'Pool A'!$B$12</f>
        <v>Oxygen - 14U</v>
      </c>
      <c r="H4" t="str">
        <f>LOWER('Pool A'!$E$12)</f>
        <v>g14o2vbc1ge</v>
      </c>
      <c r="I4" t="str">
        <f>IF(J4="","",IF('Pool A'!$F$25,"Won",IF('Pool A'!$G$25,"Lost","Tie")))</f>
        <v/>
      </c>
      <c r="J4" t="str">
        <f>IF(SUM('Pool A'!$F$24:$G$24)=3,'Pool A'!$F$18&amp;"-"&amp;'Pool A'!$G$18&amp;","&amp;'Pool A'!$F$19&amp;"-"&amp;'Pool A'!$G$19&amp;","&amp;'Pool A'!$F$20&amp;"-"&amp;'Pool A'!$G$20,IF(SUM('Pool A'!$F$24:$G$24)=2,'Pool A'!$F$18&amp;"-"&amp;'Pool A'!$G$18&amp;","&amp;'Pool A'!$F$19&amp;"-"&amp;'Pool A'!$G$19,IF(SUM('Pool A'!$F$24:$G$24)=1,'Pool A'!$F$18&amp;"-"&amp;'Pool A'!$G$18,"")))</f>
        <v/>
      </c>
    </row>
    <row r="5" spans="1:14" x14ac:dyDescent="0.3">
      <c r="A5" t="str">
        <f t="shared" si="0"/>
        <v>Pool A</v>
      </c>
      <c r="B5" s="97" t="s">
        <v>41</v>
      </c>
      <c r="C5" s="100"/>
      <c r="D5" s="100"/>
      <c r="E5" t="str">
        <f>'Pool A'!$B$10</f>
        <v>Downstate 14 Blue</v>
      </c>
      <c r="F5" t="str">
        <f>LOWER('Pool A'!$E$10)</f>
        <v>g14dstjr4ge</v>
      </c>
      <c r="G5" t="str">
        <f>'Pool A'!$B$11</f>
        <v>OC Lady Elite 14 Black</v>
      </c>
      <c r="H5" t="str">
        <f>LOWER('Pool A'!$E$11)</f>
        <v>g14oclev1ge</v>
      </c>
      <c r="I5" t="str">
        <f>IF(J5="","",IF('Pool A'!$H$25,"Won",IF('Pool A'!$I$25,"Lost","Tie")))</f>
        <v/>
      </c>
      <c r="J5" t="str">
        <f>IF(SUM('Pool A'!$H$24:$I$24)=3,'Pool A'!$H$18&amp;"-"&amp;'Pool A'!$I$18&amp;","&amp;'Pool A'!$H$19&amp;"-"&amp;'Pool A'!$I$19&amp;","&amp;'Pool A'!$H$20&amp;"-"&amp;'Pool A'!$I$20,IF(SUM('Pool A'!$H$24:$I$24)=2,'Pool A'!$H$18&amp;"-"&amp;'Pool A'!$I$18&amp;","&amp;'Pool A'!$H$19&amp;"-"&amp;'Pool A'!$I$19,IF(SUM('Pool A'!$H$24:$I$24)=1,'Pool A'!$H$18&amp;"-"&amp;'Pool A'!$I$18,"")))</f>
        <v/>
      </c>
    </row>
    <row r="6" spans="1:14" x14ac:dyDescent="0.3">
      <c r="A6" t="str">
        <f t="shared" si="0"/>
        <v>Pool A</v>
      </c>
      <c r="B6" s="97" t="s">
        <v>42</v>
      </c>
      <c r="C6" s="100" t="str">
        <f>VLOOKUP(E6,'Pool A'!$B$9:$M$12,12,FALSE)</f>
        <v/>
      </c>
      <c r="D6" s="100" t="str">
        <f>VLOOKUP(G6,'Pool A'!$B$9:$M$12,12,FALSE)</f>
        <v/>
      </c>
      <c r="E6" t="str">
        <f>'Pool A'!$B$11</f>
        <v>OC Lady Elite 14 Black</v>
      </c>
      <c r="F6" t="str">
        <f>LOWER('Pool A'!$E$11)</f>
        <v>g14oclev1ge</v>
      </c>
      <c r="G6" t="str">
        <f>'Pool A'!$B$12</f>
        <v>Oxygen - 14U</v>
      </c>
      <c r="H6" t="str">
        <f>LOWER('Pool A'!$E$12)</f>
        <v>g14o2vbc1ge</v>
      </c>
      <c r="I6" t="str">
        <f>IF(J6="","",IF('Pool A'!$J$25,"Won",IF('Pool A'!$K$25,"Lost","Tie")))</f>
        <v/>
      </c>
      <c r="J6" t="str">
        <f>IF(SUM('Pool A'!$J$24:$K$24)=3,'Pool A'!$J$18&amp;"-"&amp;'Pool A'!$K$18&amp;","&amp;'Pool A'!$J$19&amp;"-"&amp;'Pool A'!$K$19&amp;","&amp;'Pool A'!$J$20&amp;"-"&amp;'Pool A'!$K$20,IF(SUM('Pool A'!$J$24:$K$24)=2,'Pool A'!$J$18&amp;"-"&amp;'Pool A'!$K$18&amp;","&amp;'Pool A'!$J$19&amp;"-"&amp;'Pool A'!$K$19,IF(SUM('Pool A'!$J$24:$K$24)=1,'Pool A'!$J$18&amp;"-"&amp;'Pool A'!$K$18,"")))</f>
        <v/>
      </c>
    </row>
    <row r="7" spans="1:14" x14ac:dyDescent="0.3">
      <c r="A7" t="str">
        <f t="shared" si="0"/>
        <v>Pool A</v>
      </c>
      <c r="B7" s="97" t="s">
        <v>43</v>
      </c>
      <c r="C7" s="100" t="str">
        <f>VLOOKUP(E7,'Pool A'!$B$9:$M$12,12,FALSE)</f>
        <v/>
      </c>
      <c r="D7" s="100" t="str">
        <f>VLOOKUP(G7,'Pool A'!$B$9:$M$12,12,FALSE)</f>
        <v/>
      </c>
      <c r="E7" t="str">
        <f>'Pool A'!$B$9</f>
        <v>Downstate 14 White</v>
      </c>
      <c r="F7" t="str">
        <f>LOWER('Pool A'!$E$9)</f>
        <v>g14dstjr3ge</v>
      </c>
      <c r="G7" t="str">
        <f>'Pool A'!$B$10</f>
        <v>Downstate 14 Blue</v>
      </c>
      <c r="H7" t="str">
        <f>LOWER('Pool A'!$E$10)</f>
        <v>g14dstjr4ge</v>
      </c>
      <c r="I7" t="str">
        <f>IF(J7="","",IF('Pool A'!$L$25,"Won",IF('Pool A'!$M$25,"Lost","Tie")))</f>
        <v/>
      </c>
      <c r="J7" t="str">
        <f>IF(SUM('Pool A'!$L$24:$M$24)=3,'Pool A'!$L$18&amp;"-"&amp;'Pool A'!$M$18&amp;","&amp;'Pool A'!$L$19&amp;"-"&amp;'Pool A'!$M$19&amp;","&amp;'Pool A'!$L$20&amp;"-"&amp;'Pool A'!$M$20,IF(SUM('Pool A'!$L$24:$M$24)=2,'Pool A'!$L$18&amp;"-"&amp;'Pool A'!$M$18&amp;","&amp;'Pool A'!$L$19&amp;"-"&amp;'Pool A'!$M$19,IF(SUM('Pool A'!$L$24:$M$24)=1,'Pool A'!$L$18&amp;"-"&amp;'Pool A'!$M$18,"")))</f>
        <v/>
      </c>
    </row>
  </sheetData>
  <sheetProtection sheet="1" objects="1" scenarios="1" selectLockedCells="1" selectUnlockedCells="1"/>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25</vt:i4>
      </vt:variant>
    </vt:vector>
  </HeadingPairs>
  <TitlesOfParts>
    <vt:vector size="32" baseType="lpstr">
      <vt:lpstr>Teams</vt:lpstr>
      <vt:lpstr>CheckIn</vt:lpstr>
      <vt:lpstr>Format</vt:lpstr>
      <vt:lpstr>Pool A</vt:lpstr>
      <vt:lpstr>Playoff</vt:lpstr>
      <vt:lpstr>AES</vt:lpstr>
      <vt:lpstr>MO</vt:lpstr>
      <vt:lpstr>Playoff!Division</vt:lpstr>
      <vt:lpstr>Division</vt:lpstr>
      <vt:lpstr>Playoff!Event</vt:lpstr>
      <vt:lpstr>Event</vt:lpstr>
      <vt:lpstr>FinishA</vt:lpstr>
      <vt:lpstr>Playoff!FirstCt</vt:lpstr>
      <vt:lpstr>FirstCt</vt:lpstr>
      <vt:lpstr>Playoff!FirstPool</vt:lpstr>
      <vt:lpstr>FirstPool</vt:lpstr>
      <vt:lpstr>LastA</vt:lpstr>
      <vt:lpstr>CheckIn!Print_Area</vt:lpstr>
      <vt:lpstr>Format!Print_Area</vt:lpstr>
      <vt:lpstr>Playoff!Print_Area</vt:lpstr>
      <vt:lpstr>'Pool A'!Print_Area</vt:lpstr>
      <vt:lpstr>Playoff!Seed</vt:lpstr>
      <vt:lpstr>Seed</vt:lpstr>
      <vt:lpstr>Playoff!ShortName</vt:lpstr>
      <vt:lpstr>ShortName</vt:lpstr>
      <vt:lpstr>StartTime</vt:lpstr>
      <vt:lpstr>Playoff!tDate</vt:lpstr>
      <vt:lpstr>tDate</vt:lpstr>
      <vt:lpstr>Playoff!Teams</vt:lpstr>
      <vt:lpstr>Teams</vt:lpstr>
      <vt:lpstr>Playoff!Venue</vt:lpstr>
      <vt:lpstr>Venue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dc:creator>
  <cp:lastModifiedBy>Joel Stanford</cp:lastModifiedBy>
  <cp:lastPrinted>2022-03-16T19:32:50Z</cp:lastPrinted>
  <dcterms:created xsi:type="dcterms:W3CDTF">2008-02-07T18:57:12Z</dcterms:created>
  <dcterms:modified xsi:type="dcterms:W3CDTF">2023-01-16T20:32:36Z</dcterms:modified>
</cp:coreProperties>
</file>